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QshLw/ZfFoVNY0Oh+4GpvNzj98IZOsD5wQVMBfaHDZjmS2Xy3V22yfDQqD7uGnGjoRW8S2U697ALCZicMBQzQg==" workbookSaltValue="CDM5L+/CSBpVkLTlnW/oC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B18" i="7" l="1"/>
  <c r="S19" i="8"/>
  <c r="AB13" i="21"/>
  <c r="C12" i="14"/>
  <c r="K12" i="14" s="1"/>
  <c r="BG10" i="8"/>
  <c r="R8" i="9"/>
  <c r="AL16" i="11"/>
  <c r="C16" i="6"/>
  <c r="BE9" i="13"/>
  <c r="T9" i="11"/>
  <c r="BH17" i="16"/>
  <c r="BL17" i="11"/>
  <c r="V11" i="11"/>
  <c r="BI15" i="11"/>
  <c r="BG15" i="11"/>
  <c r="AP17" i="20"/>
  <c r="BU10" i="17"/>
  <c r="BW11" i="20"/>
  <c r="BU16" i="17"/>
  <c r="AZ12" i="11"/>
  <c r="BH10" i="11"/>
  <c r="BH10" i="16"/>
  <c r="BH16" i="11"/>
  <c r="L16" i="2"/>
  <c r="BH11" i="16"/>
  <c r="BM16" i="11"/>
  <c r="BF10" i="11"/>
  <c r="BM12" i="11"/>
  <c r="BJ12" i="11"/>
  <c r="BK17" i="11"/>
  <c r="BU11" i="17"/>
  <c r="BW12" i="20"/>
  <c r="BW10" i="20"/>
  <c r="BG12" i="11"/>
  <c r="AQ10" i="21"/>
  <c r="BM17" i="11"/>
  <c r="BJ16" i="11"/>
  <c r="U9" i="17"/>
  <c r="U19" i="17" s="1"/>
  <c r="V9" i="16"/>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L20" i="20"/>
  <c r="M20" i="20"/>
  <c r="AA20" i="20"/>
  <c r="N20" i="20"/>
  <c r="AJ20" i="20"/>
  <c r="AV20" i="20"/>
  <c r="AE20" i="20"/>
  <c r="AB20" i="20"/>
  <c r="Y20" i="20"/>
  <c r="I20" i="20"/>
  <c r="W20" i="21"/>
  <c r="AZ20" i="20"/>
  <c r="J20" i="20"/>
  <c r="R20" i="20"/>
  <c r="U10" i="11"/>
  <c r="U16" i="11"/>
  <c r="AM20" i="20"/>
  <c r="G13" i="14"/>
  <c r="X20" i="20"/>
  <c r="P20" i="20"/>
  <c r="AN20" i="20"/>
  <c r="AO20" i="20"/>
  <c r="T20" i="21"/>
  <c r="G18" i="14"/>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<sst xmlns="http://schemas.openxmlformats.org/spreadsheetml/2006/main" count="2102" uniqueCount="918">
  <si>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</si>
  <si>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</si>
  <si>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</si>
  <si>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</si>
  <si>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</si>
  <si>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</si>
  <si>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</si>
  <si>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</si>
  <si>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</si>
  <si>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</si>
  <si>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</si>
  <si>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</si>
  <si>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</si>
  <si>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</si>
  <si>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</si>
  <si>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</si>
  <si>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</si>
  <si>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</si>
  <si>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</si>
  <si>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</si>
  <si>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</si>
  <si>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</si>
  <si>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</si>
  <si>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</si>
  <si>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</si>
  <si>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</si>
  <si>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</si>
  <si>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</si>
  <si>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</si>
  <si>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</si>
  <si>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</si>
  <si>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</si>
  <si>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</si>
  <si>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</si>
  <si>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</si>
  <si>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</si>
  <si>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</si>
  <si>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</si>
  <si>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</si>
  <si>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</si>
  <si>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</si>
  <si>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</si>
  <si>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</si>
  <si>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</si>
  <si>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</si>
  <si>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</si>
  <si>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</si>
  <si>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</si>
  <si>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</si>
  <si>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</si>
  <si>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</si>
  <si>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</si>
  <si>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</si>
  <si>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</si>
  <si>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</si>
  <si>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</si>
  <si>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</si>
  <si>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</si>
  <si>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</si>
  <si>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</si>
  <si>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</si>
  <si>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</si>
  <si>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</si>
  <si>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</si>
  <si>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</si>
  <si>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</si>
  <si>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</si>
  <si>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</si>
  <si>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</si>
  <si>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</si>
  <si>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</si>
  <si>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</si>
  <si>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</si>
  <si>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</si>
  <si>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</si>
  <si>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</si>
  <si>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</si>
  <si>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</si>
  <si>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</si>
  <si>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</si>
  <si>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</si>
  <si>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</si>
  <si>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</si>
  <si>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</si>
  <si>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</si>
  <si>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</si>
  <si>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</si>
  <si>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</si>
  <si>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</si>
  <si>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</si>
  <si>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</si>
  <si>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</si>
  <si>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</si>
  <si>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</si>
  <si>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</si>
  <si>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</si>
  <si>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</si>
  <si>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</si>
  <si>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</si>
  <si>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</si>
  <si>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</si>
  <si>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</si>
  <si>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</si>
  <si>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</si>
  <si>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</si>
  <si>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</si>
  <si>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</si>
  <si>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</si>
  <si>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</si>
  <si>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</si>
  <si>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</si>
  <si>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</si>
  <si>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</si>
  <si>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</si>
  <si>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</si>
  <si>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</si>
  <si>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</si>
  <si>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</si>
  <si>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</si>
  <si>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</si>
  <si>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</si>
  <si>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</si>
  <si>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</si>
  <si>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</si>
  <si>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</si>
  <si>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</si>
  <si>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</si>
  <si>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</si>
  <si>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</si>
  <si>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</si>
  <si>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</si>
  <si>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</si>
  <si>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</si>
  <si>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</si>
  <si>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</si>
  <si>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</si>
  <si>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</si>
  <si>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</si>
  <si>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</si>
  <si>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</si>
  <si>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</si>
  <si>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</si>
  <si>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</si>
  <si>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</si>
  <si>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</si>
  <si>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</si>
  <si>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</si>
  <si>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</si>
  <si>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</si>
  <si>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</si>
  <si>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</si>
  <si>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</si>
  <si>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</si>
  <si>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</si>
  <si>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</si>
  <si>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</si>
  <si>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</si>
  <si>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</si>
  <si>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</si>
  <si>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</si>
  <si>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</si>
  <si>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</si>
  <si>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</si>
  <si>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</si>
  <si>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</si>
  <si>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</si>
  <si>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</si>
  <si>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</si>
  <si>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</si>
  <si>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</si>
  <si>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</si>
  <si>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</si>
  <si>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</si>
  <si>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</si>
  <si>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</si>
  <si>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</si>
  <si>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</si>
  <si>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</si>
  <si>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</si>
  <si>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</si>
  <si>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</si>
  <si>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</si>
  <si>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</si>
  <si>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</si>
  <si>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</si>
  <si>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</si>
  <si>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</si>
  <si>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</si>
  <si>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</si>
  <si>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</si>
  <si>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</si>
  <si>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</si>
  <si>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</si>
  <si>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</si>
  <si>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</si>
  <si>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</si>
  <si>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</si>
  <si>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</si>
  <si>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</si>
  <si>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</si>
  <si>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</si>
  <si>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</si>
  <si>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</si>
  <si>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</si>
  <si>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</si>
  <si>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</si>
  <si>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</si>
  <si>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</si>
  <si>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</si>
  <si>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</si>
  <si>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</si>
  <si>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</si>
  <si>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</si>
  <si>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</si>
  <si>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</si>
  <si>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</si>
  <si>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</si>
  <si>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</si>
  <si>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</si>
  <si>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</si>
  <si>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</si>
  <si>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</si>
  <si>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</si>
  <si>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</si>
  <si>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</si>
  <si>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</si>
  <si>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</si>
  <si>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</si>
  <si>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</si>
  <si>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</si>
  <si>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</si>
  <si>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</si>
  <si>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</si>
  <si>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</si>
  <si>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</si>
  <si>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</si>
  <si>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</si>
  <si>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</si>
  <si>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</si>
  <si>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</si>
  <si>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</si>
  <si>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</si>
  <si>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</si>
  <si>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</si>
  <si>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</si>
  <si>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</si>
  <si>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</si>
  <si>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</si>
  <si>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</si>
  <si>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</si>
  <si>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</si>
  <si>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</si>
  <si>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</si>
  <si>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</si>
  <si>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</si>
  <si>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</si>
  <si>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</si>
  <si>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</si>
  <si>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</si>
  <si>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</si>
  <si>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</si>
  <si>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</si>
  <si>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</si>
  <si>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</si>
  <si>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</si>
  <si>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</si>
  <si>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</si>
  <si>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</si>
  <si>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</si>
  <si>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</si>
  <si>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</si>
  <si>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</si>
  <si>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</si>
  <si>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</si>
  <si>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</si>
  <si>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</si>
  <si>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</si>
  <si>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</si>
  <si>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</si>
  <si>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</si>
  <si>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</si>
  <si>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</si>
  <si>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</si>
  <si>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</si>
  <si>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</si>
  <si>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</si>
  <si>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</si>
  <si>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</si>
  <si>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</si>
  <si>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</si>
  <si>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</si>
  <si>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</si>
  <si>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</si>
  <si>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</si>
  <si>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</si>
  <si>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</si>
  <si>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</si>
  <si>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</si>
  <si>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</si>
  <si>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</si>
  <si>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</si>
  <si>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</si>
  <si>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</si>
  <si>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</si>
  <si>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</si>
  <si>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</si>
  <si>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</si>
  <si>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</si>
  <si>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</si>
  <si>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</si>
  <si>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</si>
  <si>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</si>
  <si>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</si>
  <si>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</si>
  <si>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</si>
  <si>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</si>
  <si>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</si>
  <si>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</si>
  <si>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</si>
  <si>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</si>
  <si>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</si>
  <si>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</si>
  <si>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</si>
  <si>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</si>
  <si>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</si>
  <si>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</si>
  <si>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</si>
  <si>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</si>
  <si>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</si>
  <si>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</si>
  <si>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</si>
  <si>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</si>
  <si>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</si>
  <si>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</si>
  <si>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</si>
  <si>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</si>
  <si>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</si>
  <si>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</si>
  <si>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</si>
  <si>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</si>
  <si>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</si>
  <si>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</si>
  <si>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</si>
  <si>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</si>
  <si>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</si>
  <si>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</si>
  <si>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</si>
  <si>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</si>
  <si>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</si>
  <si>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</si>
  <si>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</si>
  <si>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</si>
  <si>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</si>
  <si>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</si>
  <si>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</si>
  <si>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</si>
  <si>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</si>
  <si>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</si>
  <si>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</si>
  <si>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</si>
  <si>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</si>
  <si>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</si>
  <si>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</si>
  <si>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</si>
  <si>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</si>
  <si>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</si>
  <si>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</si>
  <si>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</si>
  <si>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</si>
  <si>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</si>
  <si>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</si>
  <si>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</si>
  <si>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</si>
  <si>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</si>
  <si>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</si>
  <si>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</si>
  <si>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</si>
  <si>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</si>
  <si>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</si>
  <si>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</si>
  <si>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</si>
  <si>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</si>
  <si>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</si>
  <si>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</si>
  <si>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</si>
  <si>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</si>
  <si>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</si>
  <si>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</si>
  <si>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</si>
  <si>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</si>
  <si>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</si>
  <si>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</si>
  <si>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</si>
  <si>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</si>
  <si>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</si>
  <si>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</si>
  <si>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</si>
  <si>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</si>
  <si>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</si>
  <si>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</si>
  <si>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</si>
  <si>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</si>
  <si>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</si>
  <si>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</si>
  <si>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</si>
  <si>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</si>
  <si>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</si>
  <si>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</si>
  <si>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</si>
  <si>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</si>
  <si>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</si>
  <si>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</si>
  <si>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</si>
  <si>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</si>
  <si>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</si>
  <si>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</si>
  <si>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</si>
  <si>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</si>
  <si>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</si>
  <si>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</si>
  <si>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</si>
  <si>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</si>
  <si>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</si>
  <si>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</si>
  <si>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</si>
  <si>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</si>
  <si>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</si>
  <si>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</si>
  <si>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</si>
  <si>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</si>
  <si>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</si>
  <si>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</si>
  <si>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</si>
  <si>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</si>
  <si>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</si>
  <si>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</si>
  <si>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</si>
  <si>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</si>
  <si>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</si>
  <si>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</si>
  <si>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</si>
  <si>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</si>
  <si>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</si>
  <si>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</si>
  <si>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</si>
  <si>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</si>
  <si>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</si>
  <si>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</si>
  <si>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</si>
  <si>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</si>
  <si>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</si>
  <si>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</si>
  <si>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</si>
  <si>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</si>
  <si>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</si>
  <si>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</si>
  <si>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</si>
  <si>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</si>
  <si>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</si>
  <si>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</si>
  <si>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</si>
  <si>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</si>
  <si>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</si>
  <si>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</si>
  <si>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</si>
  <si>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</si>
  <si>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</si>
  <si>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</si>
  <si>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</si>
  <si>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</si>
  <si>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</si>
  <si>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</si>
  <si>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</si>
  <si>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</si>
  <si>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</si>
  <si>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</si>
  <si>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</si>
  <si>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</si>
  <si>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</si>
  <si>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</si>
  <si>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</si>
  <si>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</si>
  <si>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</si>
  <si>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</si>
  <si>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</si>
  <si>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</si>
  <si>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</si>
  <si>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</si>
  <si>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</si>
  <si>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</si>
  <si>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</si>
  <si>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</si>
  <si>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</si>
  <si>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</si>
  <si>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</si>
  <si>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</si>
  <si>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</si>
  <si>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</si>
  <si>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</si>
  <si>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</si>
  <si>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</si>
  <si>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</si>
  <si>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</si>
  <si>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</si>
  <si>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</si>
  <si>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</si>
  <si>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</si>
  <si>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</si>
  <si>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</si>
  <si>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</si>
  <si>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</si>
  <si>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</si>
  <si>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</si>
  <si>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</si>
  <si>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</si>
  <si>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</si>
  <si>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</si>
  <si>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</si>
  <si>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</si>
  <si>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</si>
  <si>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</si>
  <si>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</si>
  <si>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</si>
  <si>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</si>
  <si>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</si>
  <si>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</si>
  <si>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</si>
  <si>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</si>
  <si>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</si>
  <si>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</si>
  <si>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</si>
  <si>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</si>
  <si>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</si>
  <si>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</si>
  <si>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</si>
  <si>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</si>
  <si>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</si>
  <si>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</si>
  <si>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</si>
  <si>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</si>
  <si>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</si>
  <si>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</si>
  <si>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</si>
  <si>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</si>
  <si>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</si>
  <si>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</si>
  <si>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</si>
  <si>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</si>
  <si>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</si>
  <si>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</si>
  <si>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</si>
  <si>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</si>
  <si>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</si>
  <si>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</si>
  <si>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</si>
  <si>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</si>
  <si>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</si>
  <si>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</si>
  <si>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</si>
  <si>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</si>
  <si>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</si>
  <si>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</si>
  <si>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</si>
  <si>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</si>
  <si>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</si>
  <si>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</si>
  <si>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</si>
  <si>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</si>
  <si>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</si>
  <si>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</si>
  <si>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</si>
  <si>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</si>
  <si>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</si>
  <si>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</si>
  <si>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</si>
  <si>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</si>
  <si>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</si>
  <si>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</si>
  <si>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</si>
  <si>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</si>
  <si>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</si>
  <si>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</si>
  <si>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</si>
  <si>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</si>
  <si>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</si>
  <si>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</si>
  <si>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</si>
  <si>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</si>
  <si>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</si>
  <si>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</si>
  <si>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</si>
  <si>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</si>
  <si>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</si>
  <si>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</si>
  <si>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</si>
  <si>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</si>
  <si>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</si>
  <si>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</si>
  <si>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</si>
  <si>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</si>
  <si>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</si>
  <si>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</si>
  <si>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</si>
  <si>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</si>
  <si>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</si>
  <si>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</si>
  <si>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</si>
  <si>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</si>
  <si>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</si>
  <si>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</si>
  <si>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</si>
  <si>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</si>
  <si>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</si>
  <si>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</si>
  <si>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</si>
  <si>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</si>
  <si>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</si>
  <si>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</si>
  <si>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</si>
  <si>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</si>
  <si>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</si>
  <si>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</si>
  <si>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</si>
  <si>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</si>
  <si>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</si>
  <si>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</si>
  <si>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</si>
  <si>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</si>
  <si>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</si>
  <si>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</si>
  <si>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</si>
  <si>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</si>
  <si>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</si>
  <si>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</si>
  <si>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</si>
  <si>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</si>
  <si>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</si>
  <si>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</si>
  <si>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</si>
  <si>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</si>
  <si>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</si>
  <si>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</si>
  <si>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</si>
  <si>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</si>
  <si>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</si>
  <si>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</si>
  <si>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</si>
  <si>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</si>
  <si>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</si>
  <si>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</si>
  <si>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</si>
  <si>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</si>
  <si>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</si>
  <si>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</si>
  <si>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</si>
  <si>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</si>
  <si>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</si>
  <si>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</si>
  <si>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</si>
  <si>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</si>
  <si>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</si>
  <si>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</si>
  <si>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</si>
  <si>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</si>
  <si>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</si>
  <si>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</si>
  <si>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</si>
  <si>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</si>
  <si>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</si>
  <si>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</si>
  <si>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</si>
  <si>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</si>
  <si>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</si>
  <si>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</si>
  <si>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</si>
  <si>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</si>
  <si>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</si>
  <si>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</si>
  <si>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</si>
  <si>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</si>
  <si>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</si>
  <si>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</si>
  <si>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</si>
  <si>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</si>
  <si>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</si>
  <si>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</si>
  <si>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</si>
  <si>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</si>
  <si>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</si>
  <si>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</si>
  <si>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</si>
  <si>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</si>
  <si>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</si>
  <si>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</si>
  <si>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</si>
  <si>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</si>
  <si>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</si>
  <si>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</si>
  <si>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</si>
  <si>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</si>
  <si>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</si>
  <si>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</si>
  <si>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</si>
  <si>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</si>
  <si>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</si>
  <si>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</si>
  <si>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</si>
  <si>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</si>
  <si>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</si>
  <si>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</si>
  <si>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</si>
  <si>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</si>
  <si>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</si>
  <si>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</si>
  <si>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</si>
  <si>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</si>
  <si>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</si>
  <si>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</si>
  <si>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</si>
  <si>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</si>
  <si>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</si>
  <si>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</si>
  <si>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</si>
  <si>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</si>
  <si>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</si>
  <si>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</si>
  <si>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</si>
  <si>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</si>
  <si>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</si>
  <si>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</si>
  <si>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</si>
  <si>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</si>
  <si>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</si>
  <si>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</si>
  <si>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</si>
  <si>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</si>
  <si>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</si>
  <si>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</si>
  <si>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</si>
  <si>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</si>
  <si>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</si>
  <si>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</si>
  <si>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</si>
  <si>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</si>
  <si>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</si>
  <si>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</si>
  <si>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</si>
  <si>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</si>
  <si>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</si>
  <si>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</si>
  <si>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</si>
  <si>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</si>
  <si>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</si>
  <si>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</si>
  <si>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</si>
  <si>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</si>
  <si>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</si>
  <si>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</si>
  <si>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</si>
  <si>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</si>
  <si>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</si>
  <si>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</si>
  <si>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</si>
  <si>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</si>
  <si>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</si>
  <si>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</si>
  <si>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</si>
  <si>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</si>
  <si>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</si>
  <si>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</si>
  <si>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</si>
  <si>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</si>
  <si>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</si>
  <si>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</si>
  <si>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</si>
  <si>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</si>
  <si>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</si>
  <si>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</si>
  <si>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</si>
  <si>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</si>
  <si>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</si>
  <si>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</si>
  <si>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</si>
  <si>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</si>
  <si>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</si>
  <si>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</si>
  <si>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</si>
  <si>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</si>
  <si>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</si>
  <si>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</si>
  <si>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</si>
  <si>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</si>
  <si>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</si>
  <si>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</si>
  <si>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</si>
  <si>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</si>
  <si>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</si>
  <si>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</si>
  <si>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</si>
  <si>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</si>
  <si>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</si>
  <si>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</si>
  <si>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</si>
  <si>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</si>
  <si>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</si>
  <si>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</si>
  <si>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</si>
  <si>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</si>
  <si>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</si>
  <si>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</si>
  <si>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</si>
  <si>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</si>
  <si>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</si>
  <si>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</si>
  <si>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</si>
  <si>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</si>
  <si>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</si>
  <si>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</si>
  <si>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</si>
  <si>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</si>
  <si>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</si>
  <si>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</si>
  <si>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</si>
  <si>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</si>
  <si>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</si>
  <si>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</si>
  <si>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</si>
  <si>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</si>
  <si>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</si>
  <si>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</si>
  <si>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</si>
  <si>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</si>
  <si>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</si>
  <si>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</si>
  <si>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</si>
  <si>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</si>
  <si>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</si>
  <si>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</si>
  <si>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</si>
  <si>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</si>
  <si>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</si>
  <si>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</si>
  <si>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</si>
  <si>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</si>
  <si>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</si>
  <si>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</si>
  <si>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</si>
  <si>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</si>
  <si>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</si>
  <si>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</si>
  <si>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</si>
  <si>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</si>
  <si>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</si>
  <si>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</si>
  <si>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</si>
  <si>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</si>
  <si>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</si>
  <si>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</si>
  <si>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</si>
  <si>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</si>
  <si>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</si>
  <si>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</si>
  <si>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</si>
  <si>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</si>
  <si>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</si>
  <si>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</si>
  <si>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</si>
  <si>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</si>
  <si>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</si>
  <si>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</si>
  <si>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</si>
  <si>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</si>
  <si>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</si>
  <si>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</si>
  <si>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</si>
  <si>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</si>
  <si>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</si>
  <si>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</si>
  <si>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</si>
  <si>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</si>
  <si>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</si>
  <si>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</si>
  <si>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</si>
  <si>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</si>
  <si>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</si>
  <si>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</si>
  <si>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</si>
  <si>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</si>
  <si>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</si>
  <si>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</si>
  <si>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</si>
  <si>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</si>
  <si>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</si>
  <si>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</si>
  <si>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</si>
  <si>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</si>
  <si>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</si>
  <si>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</si>
  <si>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</si>
  <si>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</si>
  <si>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</si>
  <si>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</si>
  <si>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</si>
  <si>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</si>
  <si>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</si>
  <si>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</si>
  <si>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</si>
  <si>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</si>
  <si>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</si>
  <si>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</si>
  <si>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</si>
  <si>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</si>
  <si>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</si>
  <si>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EXTREMADURA</t>
  </si>
  <si>
    <t>Provincias</t>
  </si>
  <si>
    <t>CACERES</t>
  </si>
  <si>
    <t>Resumenes por Partidos Judiciales</t>
  </si>
  <si>
    <t>PLASENCIA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</si>
</sst>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biJYiZ+YPzJut5xt3j6+WJ3LXK+7mr4wRh3BEkeUlH3tQ5rjkc71+vhBejFxhax7ujbGyoaSzSV+vKvmS7Miw==" saltValue="L8nZe9d48QtDhmxRBnWwK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0</v>
      </c>
      <c r="F10" s="226">
        <f>IF(ISNUMBER(Datos!K10),Datos!K10," - ")</f>
        <v>2</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-0.66666666666666663</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17.236641221374047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0</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1030</v>
      </c>
      <c r="D16" s="225">
        <f>IF(ISNUMBER(IF(D_I="SI",Datos!I16,Datos!I16+Datos!AC16)),IF(D_I="SI",Datos!I16,Datos!I16+Datos!AC16)," - ")</f>
        <v>998</v>
      </c>
      <c r="E16" s="226">
        <f>IF(ISNUMBER(IF(D_I="SI",Datos!J16,Datos!J16+Datos!AD16)),IF(D_I="SI",Datos!J16,Datos!J16+Datos!AD16)," - ")</f>
        <v>1165</v>
      </c>
      <c r="F16" s="226">
        <f>IF(ISNUMBER(IF(D_I="SI",Datos!K16,Datos!K16+Datos!AE16)),IF(D_I="SI",Datos!K16,Datos!K16+Datos!AE16)," - ")</f>
        <v>1316</v>
      </c>
      <c r="G16" s="1034" t="str">
        <f>IF(Datos!E16&lt;&gt;"",Datos!E16,Datos!D16)</f>
        <v>04</v>
      </c>
      <c r="H16" s="227">
        <f>IF(ISNUMBER(IF(D_I="SI",Datos!L16,Datos!L16+Datos!AF16)),IF(D_I="SI",Datos!L16,Datos!L16+Datos!AF16)," - ")</f>
        <v>879</v>
      </c>
      <c r="I16" s="1044" t="str">
        <f>IF(ISNUMBER(Datos!AS16/Datos!BM16),Datos!AS16/Datos!BM16," - ")</f>
        <v xml:space="preserve"> - </v>
      </c>
      <c r="J16" s="1045">
        <f>IF(ISNUMBER(Datos!BY16/Datos!CN16),Datos!BY16/Datos!CN16," - ")</f>
        <v>0</v>
      </c>
      <c r="K16" s="230">
        <f t="shared" si="3"/>
        <v>-0.14660194174757282</v>
      </c>
      <c r="L16" s="1025">
        <f>IF(ISNUMBER(NºAsuntos!I16/NºAsuntos!G16),(NºAsuntos!I16/NºAsuntos!G16)*11," - ")</f>
        <v>7.3472644376899687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v>
      </c>
      <c r="D17" s="225">
        <f>IF(ISNUMBER(IF(D_I="SI",Datos!I17,Datos!I17+Datos!AC17)),IF(D_I="SI",Datos!I17,Datos!I17+Datos!AC17)," - ")</f>
        <v>16</v>
      </c>
      <c r="E17" s="226">
        <f>IF(ISNUMBER(IF(D_I="SI",Datos!J17,Datos!J17+Datos!AD17)),IF(D_I="SI",Datos!J17,Datos!J17+Datos!AD17)," - ")</f>
        <v>0</v>
      </c>
      <c r="F17" s="226">
        <f>IF(ISNUMBER(IF(D_I="SI",Datos!K17,Datos!K17+Datos!AE17)),IF(D_I="SI",Datos!K17,Datos!K17+Datos!AE17)," - ")</f>
        <v>6</v>
      </c>
      <c r="G17" s="1034" t="str">
        <f>IF(Datos!E17&lt;&gt;"",Datos!E17,Datos!D17)</f>
        <v>37</v>
      </c>
      <c r="H17" s="227">
        <f>IF(ISNUMBER(IF(D_I="SI",Datos!L17,Datos!L17+Datos!AF17)),IF(D_I="SI",Datos!L17,Datos!L17+Datos!AF17)," - ")</f>
        <v>10</v>
      </c>
      <c r="I17" s="1044" t="str">
        <f>IF(ISNUMBER(Datos!AS17/Datos!BM17),Datos!AS17/Datos!BM17," - ")</f>
        <v xml:space="preserve"> - </v>
      </c>
      <c r="J17" s="1045" t="str">
        <f>IF(ISNUMBER((Datos!BY17+Datos!BZ17)/Datos!CN17),(Datos!BY17+Datos!BZ17)/Datos!CN17," - ")</f>
        <v xml:space="preserve"> - </v>
      </c>
      <c r="K17" s="230">
        <f t="shared" si="3"/>
        <v>-0.375</v>
      </c>
      <c r="L17" s="1025">
        <f>IF(ISNUMBER(NºAsuntos!I17/NºAsuntos!G17),(NºAsuntos!I17/NºAsuntos!G17)*11," - ")</f>
        <v>18.333333333333336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1046</v>
      </c>
      <c r="D18" s="1049">
        <f>SUBTOTAL(9,D15:D17)</f>
        <v>1014</v>
      </c>
      <c r="E18" s="1050">
        <f>SUBTOTAL(9,E15:E17)</f>
        <v>1165</v>
      </c>
      <c r="F18" s="1050">
        <f>SUBTOTAL(9,F15:F17)</f>
        <v>1322</v>
      </c>
      <c r="G18" s="1052" t="str">
        <f ca="1">INDIRECT(CONCATENATE("G",ROW()-1))</f>
        <v>37</v>
      </c>
      <c r="H18" s="1053">
        <f ca="1">SUMIF(G$14:G17,G18,H$14:H17)</f>
        <v>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1049</v>
      </c>
      <c r="D19" s="1071">
        <f>SUBTOTAL(9,D9:D18)</f>
        <v>1017</v>
      </c>
      <c r="E19" s="1072">
        <f>SUBTOTAL(9,E9:E18)</f>
        <v>1165</v>
      </c>
      <c r="F19" s="1072">
        <f>SUBTOTAL(9,F9:F18)</f>
        <v>1324</v>
      </c>
      <c r="G19" s="1073"/>
      <c r="H19" s="1074">
        <f ca="1">SUMIF(B9:B18,"TOTAL",H9:H18)</f>
        <v>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PDeoiXEaUS6aR8Qu87BJ7C3rnN0+rvgZ86ZUGUdWytniKrm1PtRamko4RvvmTjWedaPtFb62oNdpHDBi9FRdg==" saltValue="SvTYi0oHKd5zCiBFClc/F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1cmlPvKJlEXVsAq95x0cXoza5FH+w0Pgl5yRxr3VbwLc54p54JR8/QHbg8L1WgrB4plFClGcJtUqcQbJPSb0A==" saltValue="Qs7cSOy84sYiuTb9+Mf5M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0</v>
      </c>
      <c r="K10" s="181">
        <v>2</v>
      </c>
      <c r="L10" s="181">
        <v>1</v>
      </c>
      <c r="M10" s="181">
        <v>2</v>
      </c>
      <c r="N10" s="181">
        <v>0</v>
      </c>
      <c r="O10" s="181">
        <v>0</v>
      </c>
      <c r="P10" s="181">
        <v>0</v>
      </c>
      <c r="Q10" s="181">
        <v>0</v>
      </c>
      <c r="R10" s="181">
        <v>6</v>
      </c>
      <c r="S10" s="181">
        <v>18</v>
      </c>
      <c r="T10" s="181">
        <v>0</v>
      </c>
      <c r="U10" s="181">
        <v>10</v>
      </c>
      <c r="V10" s="181">
        <v>8</v>
      </c>
      <c r="W10" s="181">
        <v>8</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18</v>
      </c>
      <c r="AZ10" s="129">
        <f t="shared" si="0"/>
        <v>0</v>
      </c>
      <c r="BA10" s="129">
        <f t="shared" si="0"/>
        <v>10</v>
      </c>
      <c r="BB10" s="129">
        <f t="shared" si="0"/>
        <v>8</v>
      </c>
      <c r="BC10" s="125">
        <f t="shared" si="0"/>
        <v>8</v>
      </c>
      <c r="BD10" s="126" t="str">
        <f>IF(ISNUMBER(BA10/AZ10),BA10/AZ10," - ")</f>
        <v xml:space="preserve"> - </v>
      </c>
      <c r="BE10" s="127">
        <f>IF(ISNUMBER(BB10/BA10),BB10/BA10, " - ")</f>
        <v>0.8</v>
      </c>
      <c r="BF10" s="127">
        <f>IF(ISNUMBER(BC10/BA10),BC10/BA10, " - ")</f>
        <v>0.8</v>
      </c>
      <c r="BG10" s="196">
        <f>IF(ISNUMBER((AY10+AZ10)/BA10),(AY10+AZ10)/BA10," - ")</f>
        <v>1.8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2244</v>
      </c>
      <c r="J12" s="183">
        <v>1170</v>
      </c>
      <c r="K12" s="183">
        <v>1289</v>
      </c>
      <c r="L12" s="183">
        <v>2125</v>
      </c>
      <c r="M12" s="183">
        <v>523</v>
      </c>
      <c r="N12" s="183">
        <v>541</v>
      </c>
      <c r="O12" s="181">
        <v>569</v>
      </c>
      <c r="P12" s="183">
        <v>303</v>
      </c>
      <c r="Q12" s="183">
        <v>275</v>
      </c>
      <c r="R12" s="183">
        <v>3515</v>
      </c>
      <c r="S12" s="183">
        <v>1471</v>
      </c>
      <c r="T12" s="183">
        <v>888</v>
      </c>
      <c r="U12" s="183">
        <v>527</v>
      </c>
      <c r="V12" s="183">
        <v>1832</v>
      </c>
      <c r="W12" s="183">
        <v>193</v>
      </c>
      <c r="X12" s="189">
        <v>260</v>
      </c>
      <c r="Y12" s="191">
        <v>140</v>
      </c>
      <c r="Z12" s="181">
        <v>145</v>
      </c>
      <c r="AA12" s="181">
        <v>152</v>
      </c>
      <c r="AB12" s="181">
        <v>133</v>
      </c>
      <c r="AC12" s="183">
        <v>0</v>
      </c>
      <c r="AD12" s="183">
        <v>0</v>
      </c>
      <c r="AE12" s="183">
        <v>0</v>
      </c>
      <c r="AF12" s="189">
        <v>0</v>
      </c>
      <c r="AG12" s="202">
        <v>100</v>
      </c>
      <c r="AH12" s="183">
        <v>131</v>
      </c>
      <c r="AI12" s="183">
        <v>107</v>
      </c>
      <c r="AJ12" s="203">
        <v>124</v>
      </c>
      <c r="AK12" s="182">
        <v>0</v>
      </c>
      <c r="AL12" s="183">
        <v>0</v>
      </c>
      <c r="AM12" s="183">
        <v>0</v>
      </c>
      <c r="AN12" s="189">
        <v>0</v>
      </c>
      <c r="AO12" s="259">
        <v>5</v>
      </c>
      <c r="AP12" s="155">
        <v>5</v>
      </c>
      <c r="AQ12" s="155">
        <v>5</v>
      </c>
      <c r="AR12" s="154">
        <v>5</v>
      </c>
      <c r="AS12" s="340" t="s">
        <v>802</v>
      </c>
      <c r="AT12" s="203"/>
      <c r="AU12" s="202"/>
      <c r="AV12" s="203"/>
      <c r="AW12" s="202"/>
      <c r="AX12" s="203"/>
      <c r="AY12" s="126">
        <f t="shared" si="1"/>
        <v>1571</v>
      </c>
      <c r="AZ12" s="127">
        <f t="shared" si="1"/>
        <v>1019</v>
      </c>
      <c r="BA12" s="127">
        <f t="shared" si="1"/>
        <v>634</v>
      </c>
      <c r="BB12" s="127">
        <f t="shared" si="1"/>
        <v>1956</v>
      </c>
      <c r="BC12" s="125">
        <f>IF(ISNUMBER(X12),X12," - ")</f>
        <v>260</v>
      </c>
      <c r="BD12" s="126">
        <f t="shared" si="2"/>
        <v>0.62217860647693812</v>
      </c>
      <c r="BE12" s="127">
        <f t="shared" si="3"/>
        <v>3.085173501577287</v>
      </c>
      <c r="BF12" s="127">
        <f t="shared" si="4"/>
        <v>0.41009463722397477</v>
      </c>
      <c r="BG12" s="196">
        <f t="shared" si="5"/>
        <v>4.0851735015772874</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2247</v>
      </c>
      <c r="J13" s="184">
        <f t="shared" si="6"/>
        <v>1170</v>
      </c>
      <c r="K13" s="184">
        <f t="shared" si="6"/>
        <v>1291</v>
      </c>
      <c r="L13" s="184">
        <f t="shared" si="6"/>
        <v>2126</v>
      </c>
      <c r="M13" s="184">
        <f t="shared" si="6"/>
        <v>525</v>
      </c>
      <c r="N13" s="184">
        <f t="shared" si="6"/>
        <v>541</v>
      </c>
      <c r="O13" s="184">
        <f t="shared" si="6"/>
        <v>569</v>
      </c>
      <c r="P13" s="184">
        <f t="shared" si="6"/>
        <v>303</v>
      </c>
      <c r="Q13" s="184">
        <f t="shared" si="6"/>
        <v>275</v>
      </c>
      <c r="R13" s="184">
        <f t="shared" si="6"/>
        <v>3521</v>
      </c>
      <c r="S13" s="184">
        <f t="shared" si="6"/>
        <v>1489</v>
      </c>
      <c r="T13" s="184">
        <f t="shared" si="6"/>
        <v>888</v>
      </c>
      <c r="U13" s="184">
        <f t="shared" si="6"/>
        <v>537</v>
      </c>
      <c r="V13" s="184">
        <f t="shared" si="6"/>
        <v>1840</v>
      </c>
      <c r="W13" s="184">
        <f t="shared" si="6"/>
        <v>201</v>
      </c>
      <c r="X13" s="184">
        <f t="shared" si="6"/>
        <v>261</v>
      </c>
      <c r="Y13" s="184">
        <f t="shared" si="6"/>
        <v>140</v>
      </c>
      <c r="Z13" s="184">
        <f t="shared" si="6"/>
        <v>145</v>
      </c>
      <c r="AA13" s="184">
        <f t="shared" si="6"/>
        <v>152</v>
      </c>
      <c r="AB13" s="184">
        <f t="shared" si="6"/>
        <v>133</v>
      </c>
      <c r="AC13" s="184">
        <f t="shared" si="6"/>
        <v>0</v>
      </c>
      <c r="AD13" s="184">
        <f t="shared" si="6"/>
        <v>0</v>
      </c>
      <c r="AE13" s="184">
        <f t="shared" si="6"/>
        <v>0</v>
      </c>
      <c r="AF13" s="184">
        <f>SUBTOTAL(9,AF9:AF12)</f>
        <v>0</v>
      </c>
      <c r="AG13" s="184">
        <f t="shared" ref="AG13:AT13" si="7">SUBTOTAL(9,AG8:AG12)</f>
        <v>100</v>
      </c>
      <c r="AH13" s="184">
        <f t="shared" si="7"/>
        <v>131</v>
      </c>
      <c r="AI13" s="184">
        <f t="shared" si="7"/>
        <v>107</v>
      </c>
      <c r="AJ13" s="184">
        <f t="shared" si="7"/>
        <v>124</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1589</v>
      </c>
      <c r="AZ13" s="184">
        <f>SUBTOTAL(9,AZ8:AZ12)</f>
        <v>1019</v>
      </c>
      <c r="BA13" s="184">
        <f>SUBTOTAL(9,BA8:BA12)</f>
        <v>644</v>
      </c>
      <c r="BB13" s="184">
        <f>SUBTOTAL(9,BB8:BB12)</f>
        <v>1964</v>
      </c>
      <c r="BC13" s="184">
        <f>SUBTOTAL(9,BC8:BC12)</f>
        <v>268</v>
      </c>
      <c r="BD13" s="205">
        <f>IF(ISNUMBER(BA13/AZ13),BA13/AZ13," - ")</f>
        <v>0.63199214916584889</v>
      </c>
      <c r="BE13" s="206">
        <f>IF(ISNUMBER(BB13/BA13),BB13/BA13, " - ")</f>
        <v>3.0496894409937889</v>
      </c>
      <c r="BF13" s="206">
        <f>IF(ISNUMBER(BC13/BA13),BC13/BA13, " - ")</f>
        <v>0.41614906832298137</v>
      </c>
      <c r="BG13" s="207">
        <f>IF(ISNUMBER((AY13+AZ13)/BA13),(AY13+AZ13)/BA13," - ")</f>
        <v>4.0496894409937889</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998</v>
      </c>
      <c r="J16" s="183">
        <v>1165</v>
      </c>
      <c r="K16" s="183">
        <v>1316</v>
      </c>
      <c r="L16" s="183">
        <v>879</v>
      </c>
      <c r="M16" s="183">
        <v>194</v>
      </c>
      <c r="N16" s="183">
        <v>688</v>
      </c>
      <c r="O16" s="181">
        <v>29</v>
      </c>
      <c r="P16" s="183">
        <v>80</v>
      </c>
      <c r="Q16" s="183">
        <v>64</v>
      </c>
      <c r="R16" s="183">
        <v>157</v>
      </c>
      <c r="S16" s="183">
        <v>928</v>
      </c>
      <c r="T16" s="183">
        <v>784</v>
      </c>
      <c r="U16" s="183">
        <v>838</v>
      </c>
      <c r="V16" s="183">
        <v>886</v>
      </c>
      <c r="W16" s="183">
        <v>125</v>
      </c>
      <c r="X16" s="189">
        <v>467</v>
      </c>
      <c r="Y16" s="202">
        <v>0</v>
      </c>
      <c r="Z16" s="183">
        <v>0</v>
      </c>
      <c r="AA16" s="183">
        <v>0</v>
      </c>
      <c r="AB16" s="183">
        <v>0</v>
      </c>
      <c r="AC16" s="183">
        <v>0</v>
      </c>
      <c r="AD16" s="183">
        <v>5</v>
      </c>
      <c r="AE16" s="183">
        <v>5</v>
      </c>
      <c r="AF16" s="189">
        <v>0</v>
      </c>
      <c r="AG16" s="202">
        <v>0</v>
      </c>
      <c r="AH16" s="183">
        <v>0</v>
      </c>
      <c r="AI16" s="183">
        <v>0</v>
      </c>
      <c r="AJ16" s="203">
        <v>0</v>
      </c>
      <c r="AK16" s="182">
        <v>0</v>
      </c>
      <c r="AL16" s="183">
        <v>3</v>
      </c>
      <c r="AM16" s="183">
        <v>3</v>
      </c>
      <c r="AN16" s="189">
        <v>0</v>
      </c>
      <c r="AO16" s="259">
        <v>5</v>
      </c>
      <c r="AP16" s="155">
        <v>5</v>
      </c>
      <c r="AQ16" s="155">
        <v>5</v>
      </c>
      <c r="AR16" s="155">
        <v>5</v>
      </c>
      <c r="AS16" s="340" t="s">
        <v>487</v>
      </c>
      <c r="AT16" s="203"/>
      <c r="AU16" s="202"/>
      <c r="AV16" s="203"/>
      <c r="AW16" s="202"/>
      <c r="AX16" s="203"/>
      <c r="AY16" s="126">
        <f t="shared" si="9"/>
        <v>928</v>
      </c>
      <c r="AZ16" s="127">
        <f t="shared" si="9"/>
        <v>784</v>
      </c>
      <c r="BA16" s="127">
        <f t="shared" si="9"/>
        <v>838</v>
      </c>
      <c r="BB16" s="127">
        <f t="shared" si="9"/>
        <v>886</v>
      </c>
      <c r="BC16" s="125">
        <f>IF(ISNUMBER(W16),W16," - ")</f>
        <v>125</v>
      </c>
      <c r="BD16" s="126">
        <f t="shared" ref="BD16" si="11">IF(ISNUMBER(BA16/AZ16),BA16/AZ16," - ")</f>
        <v>1.0688775510204083</v>
      </c>
      <c r="BE16" s="127">
        <f t="shared" ref="BE16" si="12">IF(ISNUMBER(BB16/BA16),BB16/BA16, " - ")</f>
        <v>1.0572792362768497</v>
      </c>
      <c r="BF16" s="127">
        <f t="shared" ref="BF16" si="13">IF(ISNUMBER(BC16/BA16),BC16/BA16, " - ")</f>
        <v>0.14916467780429593</v>
      </c>
      <c r="BG16" s="196">
        <f t="shared" si="10"/>
        <v>2.042959427207637</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v>
      </c>
      <c r="J17" s="183">
        <v>0</v>
      </c>
      <c r="K17" s="183">
        <v>6</v>
      </c>
      <c r="L17" s="183">
        <v>10</v>
      </c>
      <c r="M17" s="183">
        <v>0</v>
      </c>
      <c r="N17" s="183">
        <v>0</v>
      </c>
      <c r="O17" s="183">
        <v>0</v>
      </c>
      <c r="P17" s="183">
        <v>0</v>
      </c>
      <c r="Q17" s="183">
        <v>0</v>
      </c>
      <c r="R17" s="183">
        <v>0</v>
      </c>
      <c r="S17" s="183">
        <v>61</v>
      </c>
      <c r="T17" s="183">
        <v>8</v>
      </c>
      <c r="U17" s="183">
        <v>44</v>
      </c>
      <c r="V17" s="183">
        <v>25</v>
      </c>
      <c r="W17" s="183">
        <v>0</v>
      </c>
      <c r="X17" s="189">
        <v>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61</v>
      </c>
      <c r="AZ17" s="129">
        <f t="shared" si="14"/>
        <v>8</v>
      </c>
      <c r="BA17" s="129">
        <f t="shared" si="14"/>
        <v>44</v>
      </c>
      <c r="BB17" s="129">
        <f t="shared" si="14"/>
        <v>25</v>
      </c>
      <c r="BC17" s="125">
        <f>IF(ISNUMBER(W17),W17," - ")</f>
        <v>0</v>
      </c>
      <c r="BD17" s="126">
        <f>IF(ISNUMBER(BA17/AZ17),BA17/AZ17," - ")</f>
        <v>5.5</v>
      </c>
      <c r="BE17" s="127">
        <f>IF(ISNUMBER(BB17/BA17),BB17/BA17, " - ")</f>
        <v>0.56818181818181823</v>
      </c>
      <c r="BF17" s="127">
        <f>IF(ISNUMBER(BC17/BA17),BC17/BA17, " - ")</f>
        <v>0</v>
      </c>
      <c r="BG17" s="196">
        <f>IF(ISNUMBER((AY17+AZ17)/BA17),(AY17+AZ17)/BA17," - ")</f>
        <v>1.5681818181818181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1014</v>
      </c>
      <c r="J18" s="184">
        <f t="shared" si="15"/>
        <v>1165</v>
      </c>
      <c r="K18" s="184">
        <f t="shared" si="15"/>
        <v>1322</v>
      </c>
      <c r="L18" s="184">
        <f t="shared" si="15"/>
        <v>889</v>
      </c>
      <c r="M18" s="184">
        <f t="shared" si="15"/>
        <v>194</v>
      </c>
      <c r="N18" s="184">
        <f t="shared" si="15"/>
        <v>688</v>
      </c>
      <c r="O18" s="184">
        <f t="shared" si="15"/>
        <v>29</v>
      </c>
      <c r="P18" s="184">
        <f t="shared" si="15"/>
        <v>80</v>
      </c>
      <c r="Q18" s="184">
        <f t="shared" si="15"/>
        <v>64</v>
      </c>
      <c r="R18" s="184">
        <f t="shared" si="15"/>
        <v>157</v>
      </c>
      <c r="S18" s="184">
        <f t="shared" si="15"/>
        <v>989</v>
      </c>
      <c r="T18" s="184">
        <f t="shared" si="15"/>
        <v>792</v>
      </c>
      <c r="U18" s="184">
        <f t="shared" si="15"/>
        <v>882</v>
      </c>
      <c r="V18" s="184">
        <f t="shared" si="15"/>
        <v>911</v>
      </c>
      <c r="W18" s="184">
        <f t="shared" si="15"/>
        <v>125</v>
      </c>
      <c r="X18" s="184">
        <f t="shared" si="15"/>
        <v>486</v>
      </c>
      <c r="Y18" s="184">
        <f t="shared" si="15"/>
        <v>0</v>
      </c>
      <c r="Z18" s="184">
        <f t="shared" si="15"/>
        <v>0</v>
      </c>
      <c r="AA18" s="184">
        <f t="shared" si="15"/>
        <v>0</v>
      </c>
      <c r="AB18" s="184">
        <f t="shared" si="15"/>
        <v>0</v>
      </c>
      <c r="AC18" s="184">
        <f t="shared" si="15"/>
        <v>0</v>
      </c>
      <c r="AD18" s="184">
        <f t="shared" si="15"/>
        <v>5</v>
      </c>
      <c r="AE18" s="184">
        <f t="shared" si="15"/>
        <v>5</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989</v>
      </c>
      <c r="AZ18" s="184">
        <f>SUBTOTAL(9,AZ14:AZ17)</f>
        <v>792</v>
      </c>
      <c r="BA18" s="184">
        <f>SUBTOTAL(9,BA14:BA17)</f>
        <v>882</v>
      </c>
      <c r="BB18" s="184">
        <f>SUBTOTAL(9,BB14:BB17)</f>
        <v>911</v>
      </c>
      <c r="BC18" s="184">
        <f>SUBTOTAL(9,BC14:BC17)</f>
        <v>125</v>
      </c>
      <c r="BD18" s="205">
        <f>IF(ISNUMBER(BA18/AZ18),BA18/AZ18," - ")</f>
        <v>1.1136363636363635</v>
      </c>
      <c r="BE18" s="206">
        <f>IF(ISNUMBER(BB18/BA18),BB18/BA18, " - ")</f>
        <v>1.0328798185941044</v>
      </c>
      <c r="BF18" s="206">
        <f>IF(ISNUMBER(BC18/BA18),BC18/BA18, " - ")</f>
        <v>0.14172335600907029</v>
      </c>
      <c r="BG18" s="207">
        <f>IF(ISNUMBER((AY18+AZ18)/BA18),(AY18+AZ18)/BA18," - ")</f>
        <v>2.0192743764172336</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3261</v>
      </c>
      <c r="J19" s="134">
        <f t="shared" si="18"/>
        <v>2335</v>
      </c>
      <c r="K19" s="134">
        <f t="shared" si="18"/>
        <v>2613</v>
      </c>
      <c r="L19" s="134">
        <f t="shared" si="18"/>
        <v>3015</v>
      </c>
      <c r="M19" s="134">
        <f t="shared" si="18"/>
        <v>719</v>
      </c>
      <c r="N19" s="134">
        <f t="shared" si="18"/>
        <v>1229</v>
      </c>
      <c r="O19" s="134">
        <f t="shared" si="18"/>
        <v>598</v>
      </c>
      <c r="P19" s="134">
        <f t="shared" si="18"/>
        <v>383</v>
      </c>
      <c r="Q19" s="134">
        <f t="shared" si="18"/>
        <v>339</v>
      </c>
      <c r="R19" s="134">
        <f t="shared" si="18"/>
        <v>3678</v>
      </c>
      <c r="S19" s="134">
        <f t="shared" si="18"/>
        <v>2478</v>
      </c>
      <c r="T19" s="134">
        <f t="shared" si="18"/>
        <v>1680</v>
      </c>
      <c r="U19" s="134">
        <f t="shared" si="18"/>
        <v>1419</v>
      </c>
      <c r="V19" s="134">
        <f t="shared" si="18"/>
        <v>2751</v>
      </c>
      <c r="W19" s="134">
        <f t="shared" si="18"/>
        <v>326</v>
      </c>
      <c r="X19" s="134">
        <f t="shared" si="18"/>
        <v>747</v>
      </c>
      <c r="Y19" s="134">
        <f t="shared" si="18"/>
        <v>140</v>
      </c>
      <c r="Z19" s="134">
        <f t="shared" si="18"/>
        <v>145</v>
      </c>
      <c r="AA19" s="134">
        <f t="shared" si="18"/>
        <v>152</v>
      </c>
      <c r="AB19" s="134">
        <f t="shared" si="18"/>
        <v>133</v>
      </c>
      <c r="AC19" s="134">
        <f t="shared" si="18"/>
        <v>0</v>
      </c>
      <c r="AD19" s="134">
        <f t="shared" si="18"/>
        <v>5</v>
      </c>
      <c r="AE19" s="134">
        <f t="shared" si="18"/>
        <v>5</v>
      </c>
      <c r="AF19" s="134">
        <f t="shared" si="18"/>
        <v>0</v>
      </c>
      <c r="AG19" s="134">
        <f t="shared" si="18"/>
        <v>100</v>
      </c>
      <c r="AH19" s="134">
        <f t="shared" si="18"/>
        <v>131</v>
      </c>
      <c r="AI19" s="134">
        <f t="shared" si="18"/>
        <v>107</v>
      </c>
      <c r="AJ19" s="134">
        <f t="shared" si="18"/>
        <v>124</v>
      </c>
      <c r="AK19" s="134">
        <f t="shared" si="18"/>
        <v>0</v>
      </c>
      <c r="AL19" s="134">
        <f t="shared" si="18"/>
        <v>3</v>
      </c>
      <c r="AM19" s="134">
        <f t="shared" si="18"/>
        <v>3</v>
      </c>
      <c r="AN19" s="210">
        <f t="shared" si="18"/>
        <v>0</v>
      </c>
      <c r="AO19" s="211">
        <v>6</v>
      </c>
      <c r="AP19" s="211">
        <v>5</v>
      </c>
      <c r="AQ19" s="211">
        <v>5</v>
      </c>
      <c r="AR19" s="211">
        <v>5</v>
      </c>
      <c r="AS19" s="153">
        <f t="shared" si="18"/>
        <v>0</v>
      </c>
      <c r="AT19" s="153">
        <f t="shared" si="18"/>
        <v>0</v>
      </c>
      <c r="AU19" s="211"/>
      <c r="AV19" s="212"/>
      <c r="AW19" s="211"/>
      <c r="AX19" s="212"/>
      <c r="AY19" s="133">
        <f>SUBTOTAL(9,AY9:AY18)</f>
        <v>2578</v>
      </c>
      <c r="AZ19" s="134">
        <f>SUBTOTAL(9,AZ9:AZ18)</f>
        <v>1811</v>
      </c>
      <c r="BA19" s="134">
        <f>SUBTOTAL(9,BA9:BA18)</f>
        <v>1526</v>
      </c>
      <c r="BB19" s="134">
        <f>SUBTOTAL(9,BB9:BB18)</f>
        <v>2875</v>
      </c>
      <c r="BC19" s="135">
        <f>SUBTOTAL(9,BC9:BC18)</f>
        <v>393</v>
      </c>
      <c r="BD19" s="213">
        <f>IF(ISNUMBER(BA19/AZ19),BA19/AZ19," - ")</f>
        <v>0.84262838210933189</v>
      </c>
      <c r="BE19" s="210">
        <f>IF(ISNUMBER(BB19/BA19),BB19/BA19, " - ")</f>
        <v>1.8840104849279162</v>
      </c>
      <c r="BF19" s="210">
        <f>IF(ISNUMBER(BC19/BA19),BC19/BA19, " - ")</f>
        <v>0.25753604193971169</v>
      </c>
      <c r="BG19" s="135">
        <f>IF(ISNUMBER((AY19+AZ19)/BA19),(AY19+AZ19)/BA19," - ")</f>
        <v>2.8761467889908259</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xoElRgYvPW3EhohnW09QX7psl2SpDesxj8yOBhUXcpIT0m78QmM3hDW9t/FChCbTHtsHGCAFdVcnQ5gcqC3Sg==" saltValue="5LKgsi4GfEseH6N9xxHAK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g6/zeU0ceGTAQ0JnL3DYyPEOyTw8+0zkK906wY+BMsV9hyHxvCPOXTVQC1JTZdldnU8vFZ5/kAp02rPPRXEig==" saltValue="H76jYbURWzz1sMHWyRT+h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PLASENCIA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145</v>
      </c>
      <c r="O12" s="334"/>
      <c r="P12" s="334"/>
      <c r="Q12" s="226">
        <f>IF(ISNUMBER(Datos!P12),Datos!P12,0)</f>
        <v>303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133</v>
      </c>
      <c r="AI12" s="334" t="str">
        <f>IF(ISNUMBER(Datos!CD12),Datos!CD12,"-")</f>
        <v>-</v>
      </c>
      <c r="AJ12" s="334" t="str">
        <f>IF(ISNUMBER(Datos!EN12),Datos!EN12," - ")</f>
        <v xml:space="preserve"> - </v>
      </c>
      <c r="AK12" s="334"/>
      <c r="AL12" s="479"/>
      <c r="AM12" s="335">
        <f>IF(ISNUMBER(Datos!R12),Datos!R12," - ")</f>
        <v>3515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523</v>
      </c>
      <c r="BD12" s="229">
        <f>IF(ISNUMBER(Datos!N12),Datos!N12," - ")</f>
        <v>541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1.0958174904942966</v>
      </c>
      <c r="BH12" s="260">
        <f>IF(ISNUMBER(((IF(J_V="SI",Datos!L12/Datos!K12,(Datos!L12+Datos!AB12)/(Datos!K12+Datos!AA12)))*11)/factor_trimestre),((IF(J_V="SI",Datos!L12/Datos!K12,(Datos!L12+Datos!AB12)/(Datos!K12+Datos!AA12)))*11)/factor_trimestre," - ")</f>
        <v>4.7009021512838309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8.0298250645253807E-3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145</v>
      </c>
      <c r="O13" s="900">
        <f t="shared" si="0"/>
        <v>0</v>
      </c>
      <c r="P13" s="900">
        <f t="shared" si="0"/>
        <v>0</v>
      </c>
      <c r="Q13" s="899">
        <f t="shared" si="0"/>
        <v>303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275</v>
      </c>
      <c r="AD13" s="899">
        <f t="shared" si="1"/>
        <v>0</v>
      </c>
      <c r="AE13" s="899">
        <f t="shared" si="1"/>
        <v>0</v>
      </c>
      <c r="AF13" s="899">
        <f t="shared" si="1"/>
        <v>1</v>
      </c>
      <c r="AG13" s="899">
        <f t="shared" si="1"/>
        <v>0</v>
      </c>
      <c r="AH13" s="899">
        <f t="shared" si="1"/>
        <v>133</v>
      </c>
      <c r="AI13" s="899">
        <f t="shared" si="1"/>
        <v>0</v>
      </c>
      <c r="AJ13" s="899">
        <f t="shared" si="1"/>
        <v>0</v>
      </c>
      <c r="AK13" s="899">
        <f t="shared" si="1"/>
        <v>0</v>
      </c>
      <c r="AL13" s="899">
        <f t="shared" si="1"/>
        <v>0</v>
      </c>
      <c r="AM13" s="899">
        <f t="shared" si="1"/>
        <v>3521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525</v>
      </c>
      <c r="BD13" s="899">
        <f t="shared" si="1"/>
        <v>541</v>
      </c>
      <c r="BE13" s="899">
        <f t="shared" si="1"/>
        <v>0</v>
      </c>
      <c r="BF13" s="899">
        <f t="shared" si="1"/>
        <v>0</v>
      </c>
      <c r="BG13" s="899">
        <f>IF(ISNUMBER(Datos!K13/Datos!J13),Datos!K13/Datos!J13," - ")</f>
        <v>1.1034188034188035</v>
      </c>
      <c r="BH13" s="903">
        <f>IF(ISNUMBER(((Datos!L13/Datos!K13)*11)/factor_trimestre),((Datos!L13/Datos!K13)*11)/factor_trimestre," - ")</f>
        <v>4.940356312935708</v>
      </c>
      <c r="BI13" s="899">
        <f>IF(ISNUMBER('Resol  Asuntos'!D13/NºAsuntos!G13),'Resol  Asuntos'!D13/NºAsuntos!G13," - ")</f>
        <v>0.36382536382536385</v>
      </c>
      <c r="BJ13" s="899" t="str">
        <f>IF(ISNUMBER(Datos!CI13/Datos!CJ13),Datos!CI13/Datos!CJ13," - ")</f>
        <v xml:space="preserve"> - </v>
      </c>
      <c r="BK13" s="899">
        <f>SUBTOTAL(9,BK8:BK12)</f>
        <v>0</v>
      </c>
      <c r="BL13" s="899">
        <f>IF(ISNUMBER((I13-AB13+L13)/(F13)),(I13-AB13+L13)/(F13)," - ")</f>
        <v>-0.66666666666666663</v>
      </c>
      <c r="BM13" s="904">
        <f>SUBTOTAL(9,BM9:BM12)</f>
        <v>8.0298250645253807E-3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1030</v>
      </c>
      <c r="G16" s="598">
        <f>IF(ISNUMBER(IF(D_I="SI",Datos!I16,Datos!I16+Datos!AC16)),IF(D_I="SI",Datos!I16,Datos!I16+Datos!AC16)," - ")</f>
        <v>998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1316</v>
      </c>
      <c r="AC16" s="226">
        <f>IF(ISNUMBER(Datos!Q16),Datos!Q16," - ")</f>
        <v>64</v>
      </c>
      <c r="AD16" s="334"/>
      <c r="AE16" s="484"/>
      <c r="AF16" s="596">
        <f>IF(ISNUMBER(IF(D_I="SI",Datos!L16,Datos!L16+Datos!AF16)),IF(D_I="SI",Datos!L16,Datos!L16+Datos!AF16)," - ")</f>
        <v>879</v>
      </c>
      <c r="AG16" s="334"/>
      <c r="AH16" s="334"/>
      <c r="AI16" s="334"/>
      <c r="AJ16" s="334"/>
      <c r="AK16" s="334"/>
      <c r="AL16" s="479"/>
      <c r="AM16" s="335">
        <f>IF(ISNUMBER(Datos!R16),Datos!R16," - ")</f>
        <v>157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194</v>
      </c>
      <c r="BD16" s="229">
        <f>IF(ISNUMBER(Datos!N16),Datos!N16," - ")</f>
        <v>688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1.1296137339055794</v>
      </c>
      <c r="BH16" s="260">
        <f>IF(ISNUMBER(((IF(D_I="SI",Datos!L16/Datos!K16,(Datos!L16+Datos!AF16)/(Datos!K16+Datos!AE16)))*11)/factor_trimestre),((IF(D_I="SI",Datos!L16/Datos!K16,(Datos!L16+Datos!AF16)/(Datos!K16+Datos!AE16)))*11)/factor_trimestre," - ")</f>
        <v>2.0037993920972643</v>
      </c>
      <c r="BI16" s="243">
        <f>IF(ISNUMBER('Resol  Asuntos'!D16/NºAsuntos!G16),'Resol  Asuntos'!D16/NºAsuntos!G16," - ")</f>
        <v>0.14741641337386019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v>
      </c>
      <c r="AC17" s="226">
        <f>IF(ISNUMBER(Datos!Q17),Datos!Q17," - ")</f>
        <v>0</v>
      </c>
      <c r="AD17" s="334"/>
      <c r="AE17" s="484"/>
      <c r="AF17" s="332">
        <f>IF(ISNUMBER(Datos!L17),Datos!L17,"-")</f>
        <v>10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5.0000000000000009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1030</v>
      </c>
      <c r="G18" s="898">
        <f>SUBTOTAL(9,G15:G17)</f>
        <v>1014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1322</v>
      </c>
      <c r="AC18" s="899">
        <f t="shared" si="4"/>
        <v>64</v>
      </c>
      <c r="AD18" s="899">
        <f t="shared" si="4"/>
        <v>0</v>
      </c>
      <c r="AE18" s="899">
        <f t="shared" si="4"/>
        <v>0</v>
      </c>
      <c r="AF18" s="899">
        <f t="shared" si="4"/>
        <v>889</v>
      </c>
      <c r="AG18" s="899">
        <f t="shared" si="4"/>
        <v>0</v>
      </c>
      <c r="AH18" s="899">
        <f t="shared" si="4"/>
        <v>0</v>
      </c>
      <c r="AI18" s="899">
        <f t="shared" si="4"/>
        <v>0</v>
      </c>
      <c r="AJ18" s="899">
        <f t="shared" si="4"/>
        <v>0</v>
      </c>
      <c r="AK18" s="899">
        <f t="shared" si="4"/>
        <v>0</v>
      </c>
      <c r="AL18" s="899">
        <f t="shared" si="4"/>
        <v>0</v>
      </c>
      <c r="AM18" s="899">
        <f t="shared" si="4"/>
        <v>157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194</v>
      </c>
      <c r="BD18" s="899">
        <f t="shared" si="4"/>
        <v>688</v>
      </c>
      <c r="BE18" s="899">
        <f t="shared" si="4"/>
        <v>0</v>
      </c>
      <c r="BF18" s="899">
        <f t="shared" si="4"/>
        <v>0</v>
      </c>
      <c r="BG18" s="899">
        <f>IF(ISNUMBER(Datos!K18/Datos!J18),Datos!K18/Datos!J18," - ")</f>
        <v>1.134763948497854</v>
      </c>
      <c r="BH18" s="903">
        <f>IF(ISNUMBER(((Datos!L18/Datos!K18)*11)/factor_trimestre),((Datos!L18/Datos!K18)*11)/factor_trimestre," - ")</f>
        <v>2.0173978819969745</v>
      </c>
      <c r="BI18" s="899">
        <f>SUBTOTAL(9,BI15:BI17)</f>
        <v>0.14741641337386019</v>
      </c>
      <c r="BJ18" s="899">
        <f>SUBTOTAL(9,BJ15:BJ17)</f>
        <v>0</v>
      </c>
      <c r="BK18" s="899">
        <f>SUBTOTAL(9,BK15:BK17)</f>
        <v>0</v>
      </c>
      <c r="BL18" s="899">
        <f>IF(ISNUMBER((I18-AB18+L18)/(F18)),(I18-AB18+L18)/(F18)," - ")</f>
        <v>-1.2834951456310679</v>
      </c>
      <c r="BM18" s="905">
        <f>IF(ISNUMBER((Datos!P18-Datos!Q18)/(Datos!R18-Datos!P18+Datos!Q18)),(Datos!P18-Datos!Q18)/(Datos!R18-Datos!P18+Datos!Q18)," - ")</f>
        <v>0.11347517730496454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1033</v>
      </c>
      <c r="G19" s="820">
        <f t="shared" si="6"/>
        <v>1017</v>
      </c>
      <c r="H19" s="822">
        <f t="shared" si="6"/>
        <v>0</v>
      </c>
      <c r="I19" s="820">
        <f t="shared" si="6"/>
        <v>0</v>
      </c>
      <c r="J19" s="822">
        <f t="shared" si="6"/>
        <v>0</v>
      </c>
      <c r="K19" s="822">
        <f t="shared" si="6"/>
        <v>0</v>
      </c>
      <c r="L19" s="881">
        <f t="shared" si="6"/>
        <v>0</v>
      </c>
      <c r="M19" s="881">
        <f t="shared" si="6"/>
        <v>0</v>
      </c>
      <c r="N19" s="881">
        <f t="shared" si="6"/>
        <v>145</v>
      </c>
      <c r="O19" s="881">
        <f t="shared" si="6"/>
        <v>0</v>
      </c>
      <c r="P19" s="881">
        <f t="shared" si="6"/>
        <v>0</v>
      </c>
      <c r="Q19" s="822">
        <f t="shared" si="6"/>
        <v>383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1324</v>
      </c>
      <c r="AC19" s="821">
        <f t="shared" si="7"/>
        <v>339</v>
      </c>
      <c r="AD19" s="821">
        <f t="shared" si="7"/>
        <v>0</v>
      </c>
      <c r="AE19" s="821">
        <f t="shared" si="7"/>
        <v>0</v>
      </c>
      <c r="AF19" s="828">
        <f t="shared" si="7"/>
        <v>890</v>
      </c>
      <c r="AG19" s="828">
        <f t="shared" si="7"/>
        <v>0</v>
      </c>
      <c r="AH19" s="828">
        <f t="shared" si="7"/>
        <v>133</v>
      </c>
      <c r="AI19" s="828">
        <f t="shared" si="7"/>
        <v>0</v>
      </c>
      <c r="AJ19" s="821">
        <f t="shared" si="7"/>
        <v>0</v>
      </c>
      <c r="AK19" s="828">
        <f t="shared" si="7"/>
        <v>0</v>
      </c>
      <c r="AL19" s="828">
        <f t="shared" si="7"/>
        <v>0</v>
      </c>
      <c r="AM19" s="828">
        <f t="shared" si="7"/>
        <v>3678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719</v>
      </c>
      <c r="BD19" s="820">
        <f t="shared" si="7"/>
        <v>1229</v>
      </c>
      <c r="BE19" s="820">
        <f t="shared" si="7"/>
        <v>0</v>
      </c>
      <c r="BF19" s="830">
        <f t="shared" si="7"/>
        <v>0</v>
      </c>
      <c r="BG19" s="915">
        <f>IF(ISNUMBER(Datos!K19/Datos!J19),Datos!K19/Datos!J19," - ")</f>
        <v>1.1190578158458244</v>
      </c>
      <c r="BH19" s="915">
        <f>IF(ISNUMBER(((Datos!L19/Datos!K19)*11)/factor_trimestre),((Datos!L19/Datos!K19)*11)/factor_trimestre," - ")</f>
        <v>3.4615384615384617</v>
      </c>
      <c r="BI19" s="813">
        <f>IF(ISNUMBER(Datos!J19/Datos!I19),Datos!J19/Datos!I19," - ")</f>
        <v>0.71603802514566084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-1.2817037754114231</v>
      </c>
      <c r="BM19" s="889">
        <f>IF(ISNUMBER((Datos!P19-Datos!Q19+R19)/(Datos!R19-Datos!P19+Datos!Q19-R19)),(Datos!P19-Datos!Q19+R19)/(Datos!R19-Datos!P19+Datos!Q19-R19)," - ")</f>
        <v>1.2107870115575124E-2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406.8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592.93872645774559</v>
      </c>
      <c r="G21" s="552">
        <f>IF(ISNUMBER(STDEV(G8:G18)),STDEV(G8:G18),"-")</f>
        <v>547.04725572842426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720.62528404157456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236.55415165806468</v>
      </c>
      <c r="BD21" s="551"/>
      <c r="BE21" s="551">
        <f>IF(ISNUMBER(STDEV(BE8:BE18)),STDEV(BE8:BE18),"-")</f>
        <v>0</v>
      </c>
      <c r="BF21" s="556">
        <f>IF(ISNUMBER(STDEV(BF8:BF18)),STDEV(BF8:BF18),"-")</f>
        <v>0</v>
      </c>
      <c r="BG21" s="775">
        <f>IF(ISNUMBER(STDEV(BG8:BG18)),STDEV(BG8:BG18),"-")</f>
        <v>1.9174657388277814E-2</v>
      </c>
      <c r="BH21" s="776">
        <f>IF(ISNUMBER(STDEV(BH8:BH18)),STDEV(BH8:BH18),"-")</f>
        <v>1.6784876637131936</v>
      </c>
      <c r="BI21" s="249">
        <f>IF(ISNUMBER(STDEV(BI8:BI18)),STDEV(BI8:BI18),"-")</f>
        <v>0.14986042420024451</v>
      </c>
      <c r="BJ21" s="230" t="str">
        <f>IF(ISNUMBER(BL21/BM21),BL21/BM21," - ")</f>
        <v xml:space="preserve"> - </v>
      </c>
      <c r="BK21" s="575"/>
      <c r="BL21" s="559">
        <f>IF(ISNUMBER(STDEV(BL8:BL18)),STDEV(BL8:BL18),"-")</f>
        <v>0.43616360030471224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8zyWrh6yJ847iSg/PSBBQAD9AU6NGvmsgPU8GQGScLYcjOQh22V6Vih6ptw03wEANG9OgVGsve2PL4hfqreWtA==" saltValue="0CNRqWYu07PNIzQqwEmno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PLASENCIA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275</v>
      </c>
      <c r="AA12" s="332" t="str">
        <f>IF(ISNUMBER(IF(J_V="SI",Datos!L12,Datos!L12+Datos!AB12)-IF(Monitorios="SI",Datos!CD12,0)),
                          IF(J_V="SI",Datos!L12,Datos!L12+Datos!AB12)-IF(Monitorios="SI",Datos!CD12,0),
                          " - ")</f>
        <v xml:space="preserve"> - </v>
      </c>
      <c r="AB12" s="334"/>
      <c r="AC12" s="334"/>
      <c r="AD12" s="484"/>
      <c r="AE12" s="484">
        <f>IF(ISNUMBER(Datos!R12),Datos!R12," - ")</f>
        <v>3515</v>
      </c>
      <c r="AF12" s="229" t="str">
        <f>IF(ISNUMBER(Datos!BV12),Datos!BV12," - ")</f>
        <v xml:space="preserve"> - </v>
      </c>
      <c r="AG12" s="225" t="str">
        <f>IF(ISNUMBER(Datos!DV12),Datos!DV12," - ")</f>
        <v xml:space="preserve"> - </v>
      </c>
      <c r="AH12" s="298"/>
      <c r="AI12" s="227"/>
      <c r="AJ12" s="225">
        <f>IF(ISNUMBER(Datos!M12),Datos!M12," - ")</f>
        <v>523</v>
      </c>
      <c r="AK12" s="229">
        <f>IF(ISNUMBER(Datos!N12),Datos!N12," - ")</f>
        <v>541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4.7009021512838309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8.0298250645253807E-3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303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275</v>
      </c>
      <c r="AA13" s="900">
        <f t="shared" si="2"/>
        <v>1</v>
      </c>
      <c r="AB13" s="900">
        <f t="shared" si="2"/>
        <v>0</v>
      </c>
      <c r="AC13" s="900">
        <f t="shared" si="2"/>
        <v>0</v>
      </c>
      <c r="AD13" s="900">
        <f t="shared" si="2"/>
        <v>0</v>
      </c>
      <c r="AE13" s="900">
        <f t="shared" si="2"/>
        <v>3521</v>
      </c>
      <c r="AF13" s="908">
        <f t="shared" si="2"/>
        <v>0</v>
      </c>
      <c r="AG13" s="908">
        <f t="shared" si="2"/>
        <v>0</v>
      </c>
      <c r="AH13" s="908">
        <f t="shared" si="2"/>
        <v>0</v>
      </c>
      <c r="AI13" s="908">
        <f t="shared" si="2"/>
        <v>0</v>
      </c>
      <c r="AJ13" s="908">
        <f t="shared" si="2"/>
        <v>525</v>
      </c>
      <c r="AK13" s="908">
        <f t="shared" si="2"/>
        <v>541</v>
      </c>
      <c r="AL13" s="908">
        <f t="shared" si="2"/>
        <v>0</v>
      </c>
      <c r="AM13" s="908">
        <f t="shared" si="2"/>
        <v>0</v>
      </c>
      <c r="AN13" s="908">
        <f t="shared" si="2"/>
        <v>0</v>
      </c>
      <c r="AO13" s="904">
        <f>IF(ISNUMBER(((NºAsuntos!I13/NºAsuntos!G13)*11)/factor_trimestre),((NºAsuntos!I13/NºAsuntos!G13)*11)/factor_trimestre," - ")</f>
        <v>4.6964656964656966</v>
      </c>
      <c r="AP13" s="910" t="str">
        <f>IF(ISNUMBER(Datos!CI13/Datos!CJ13),Datos!CI13/Datos!CJ13," - ")</f>
        <v xml:space="preserve"> - </v>
      </c>
      <c r="AQ13" s="928">
        <f t="shared" ref="AQ13:AV13" si="3">SUBTOTAL(9,AQ9:AQ12)</f>
        <v>0</v>
      </c>
      <c r="AR13" s="928">
        <f t="shared" si="3"/>
        <v>8.0298250645253807E-3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1030</v>
      </c>
      <c r="G16" s="225">
        <f>IF(ISNUMBER(IF(D_I="SI",Datos!I16,Datos!I16+Datos!AC16)),IF(D_I="SI",Datos!I16,Datos!I16+Datos!AC16)," - ")</f>
        <v>998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1316</v>
      </c>
      <c r="Z16" s="619">
        <f>IF(ISNUMBER(Datos!Q16),Datos!Q16," - ")</f>
        <v>64</v>
      </c>
      <c r="AA16" s="332">
        <f>IF(ISNUMBER(IF(D_I="SI",Datos!L16,Datos!L16+Datos!AF16)),IF(D_I="SI",Datos!L16,Datos!L16+Datos!AF16)," - ")</f>
        <v>879</v>
      </c>
      <c r="AB16" s="334"/>
      <c r="AC16" s="334"/>
      <c r="AD16" s="484"/>
      <c r="AE16" s="484">
        <f>IF(ISNUMBER(Datos!R16),Datos!R16," - ")</f>
        <v>157</v>
      </c>
      <c r="AF16" s="229" t="str">
        <f>IF(ISNUMBER(Datos!BV16),Datos!BV16," - ")</f>
        <v xml:space="preserve"> - </v>
      </c>
      <c r="AG16" s="225"/>
      <c r="AH16" s="298"/>
      <c r="AI16" s="227"/>
      <c r="AJ16" s="225">
        <f>IF(ISNUMBER(Datos!M16),Datos!M16," - ")</f>
        <v>194</v>
      </c>
      <c r="AK16" s="229">
        <f>IF(ISNUMBER(Datos!N16),Datos!N16," - ")</f>
        <v>688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2.0037993920972643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v>
      </c>
      <c r="Z17" s="619">
        <f>IF(ISNUMBER(Datos!Q17),Datos!Q17," - ")</f>
        <v>0</v>
      </c>
      <c r="AA17" s="332">
        <f>IF(ISNUMBER(Datos!L17),Datos!L17,"-")</f>
        <v>10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5.0000000000000009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1030</v>
      </c>
      <c r="G18" s="898">
        <f>SUBTOTAL(9,G15:G17)</f>
        <v>1014</v>
      </c>
      <c r="H18" s="932">
        <f>SUBTOTAL(9,H15:H17)</f>
        <v>0</v>
      </c>
      <c r="I18" s="911">
        <f>SUBTOTAL(9,I15:I17)</f>
        <v>0</v>
      </c>
      <c r="J18" s="867">
        <f>SUBTOTAL(9,J14:J17)</f>
        <v>0</v>
      </c>
      <c r="K18" s="932">
        <f t="shared" ref="K18:S18" si="4">SUBTOTAL(9,K15:K17)</f>
        <v>0</v>
      </c>
      <c r="L18" s="932">
        <f t="shared" si="4"/>
        <v>0</v>
      </c>
      <c r="M18" s="932">
        <f t="shared" si="4"/>
        <v>0</v>
      </c>
      <c r="N18" s="932">
        <f t="shared" si="4"/>
        <v>80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1322</v>
      </c>
      <c r="Z18" s="932">
        <f t="shared" si="5"/>
        <v>64</v>
      </c>
      <c r="AA18" s="932">
        <f t="shared" si="5"/>
        <v>889</v>
      </c>
      <c r="AB18" s="932">
        <f t="shared" si="5"/>
        <v>0</v>
      </c>
      <c r="AC18" s="932">
        <f t="shared" si="5"/>
        <v>0</v>
      </c>
      <c r="AD18" s="932">
        <f t="shared" si="5"/>
        <v>0</v>
      </c>
      <c r="AE18" s="932">
        <f t="shared" si="5"/>
        <v>157</v>
      </c>
      <c r="AF18" s="932">
        <f t="shared" si="5"/>
        <v>0</v>
      </c>
      <c r="AG18" s="932">
        <f t="shared" si="5"/>
        <v>0</v>
      </c>
      <c r="AH18" s="932">
        <f t="shared" si="5"/>
        <v>0</v>
      </c>
      <c r="AI18" s="932">
        <f t="shared" si="5"/>
        <v>0</v>
      </c>
      <c r="AJ18" s="932">
        <f t="shared" si="5"/>
        <v>194</v>
      </c>
      <c r="AK18" s="932">
        <f t="shared" si="5"/>
        <v>688</v>
      </c>
      <c r="AL18" s="932">
        <f t="shared" si="5"/>
        <v>0</v>
      </c>
      <c r="AM18" s="932">
        <f t="shared" si="5"/>
        <v>0</v>
      </c>
      <c r="AN18" s="932">
        <f t="shared" si="5"/>
        <v>0</v>
      </c>
      <c r="AO18" s="934">
        <f>IF(ISNUMBER(((NºAsuntos!I18/NºAsuntos!G18)*11)/factor_trimestre),((NºAsuntos!I18/NºAsuntos!G18)*11)/factor_trimestre," - ")</f>
        <v>2.0173978819969745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1033</v>
      </c>
      <c r="G19" s="820">
        <f t="shared" si="7"/>
        <v>1017</v>
      </c>
      <c r="H19" s="821">
        <f t="shared" si="7"/>
        <v>0</v>
      </c>
      <c r="I19" s="820">
        <f t="shared" si="7"/>
        <v>0</v>
      </c>
      <c r="J19" s="822">
        <f t="shared" si="7"/>
        <v>0</v>
      </c>
      <c r="K19" s="820">
        <f t="shared" si="7"/>
        <v>0</v>
      </c>
      <c r="L19" s="823">
        <f t="shared" si="7"/>
        <v>0</v>
      </c>
      <c r="M19" s="820">
        <f t="shared" si="7"/>
        <v>0</v>
      </c>
      <c r="N19" s="821">
        <f t="shared" si="7"/>
        <v>383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1324</v>
      </c>
      <c r="Z19" s="827">
        <f t="shared" si="8"/>
        <v>339</v>
      </c>
      <c r="AA19" s="828">
        <f t="shared" si="8"/>
        <v>890</v>
      </c>
      <c r="AB19" s="828">
        <f t="shared" si="8"/>
        <v>0</v>
      </c>
      <c r="AC19" s="828">
        <f t="shared" si="8"/>
        <v>0</v>
      </c>
      <c r="AD19" s="829">
        <f t="shared" si="8"/>
        <v>0</v>
      </c>
      <c r="AE19" s="829">
        <f t="shared" si="8"/>
        <v>3678</v>
      </c>
      <c r="AF19" s="830">
        <f t="shared" si="8"/>
        <v>0</v>
      </c>
      <c r="AG19" s="831">
        <f t="shared" si="8"/>
        <v>0</v>
      </c>
      <c r="AH19" s="832">
        <f t="shared" si="8"/>
        <v>0</v>
      </c>
      <c r="AI19" s="830">
        <f t="shared" si="8"/>
        <v>0</v>
      </c>
      <c r="AJ19" s="820">
        <f t="shared" si="8"/>
        <v>719</v>
      </c>
      <c r="AK19" s="820">
        <f t="shared" si="8"/>
        <v>1229</v>
      </c>
      <c r="AL19" s="820">
        <f t="shared" si="8"/>
        <v>0</v>
      </c>
      <c r="AM19" s="833">
        <f t="shared" si="8"/>
        <v>0</v>
      </c>
      <c r="AN19" s="823">
        <f>IF(ISNUMBER(Datos!K19/Datos!J19),Datos!K19/Datos!J19," - ")</f>
        <v>1.1190578158458244</v>
      </c>
      <c r="AO19" s="823">
        <f>IF(ISNUMBER(FIND("06",Criterios!A8,1)),(IF(ISNUMBER(((Datos!R19/Datos!Q19)*11)/factor_trimestre),((Datos!R19/Datos!Q19)*11)/factor_trimestre," - ")),(IF(ISNUMBER(((Datos!L19/Datos!K19)*11)/factor_trimestre),((Datos!L19/Datos!K19)*11)/factor_trimestre," - ")))</f>
        <v>3.4615384615384617</v>
      </c>
      <c r="AP19" s="834" t="str">
        <f>IF(ISNUMBER(Datos!CI19/Datos!CJ19),Datos!CI19/Datos!CJ19," - ")</f>
        <v xml:space="preserve"> - </v>
      </c>
      <c r="AQ19" s="834">
        <f>IF(OR(ISNUMBER(FIND("01",Criterios!A8,1)),ISNUMBER(FIND("02",Criterios!A8,1)),ISNUMBER(FIND("03",Criterios!A8,1)),ISNUMBER(FIND("04",Criterios!A8,1))),(J19-Y19+K19)/(F19-K19),(I19-Y19+K19)/(F19-K19))</f>
        <v>-1.2817037754114231</v>
      </c>
      <c r="AR19" s="834">
        <f>IF(ISNUMBER((Datos!P19-Datos!Q19+O19)/(Datos!R19-Datos!P19+Datos!Q19-O19)),(Datos!P19-Datos!Q19+O19)/(Datos!R19-Datos!P19+Datos!Q19-O19)," - ")</f>
        <v>1.2107870115575124E-2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406.8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592.93872645774559</v>
      </c>
      <c r="G21" s="552">
        <f>IF(ISNUMBER(STDEV(G8:G18)),STDEV(G8:G18),"-")</f>
        <v>547.04725572842426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236.55415165806468</v>
      </c>
      <c r="AK21" s="252"/>
      <c r="AL21" s="252">
        <f>IF(ISNUMBER(STDEV(AL8:AL18)),STDEV(AL8:AL18),"-")</f>
        <v>0</v>
      </c>
      <c r="AM21" s="254">
        <f>IF(ISNUMBER(STDEV(AM8:AM18)),STDEV(AM8:AM18),"-")</f>
        <v>0</v>
      </c>
      <c r="AN21" s="539">
        <f>IF(ISNUMBER(STDEV(AN8:AN18)),STDEV(AN8:AN18),"-")</f>
        <v>0</v>
      </c>
      <c r="AO21" s="540">
        <f>IF(ISNUMBER(STDEV(AO8:AO18)),STDEV(AO8:AO18),"-")</f>
        <v>1.6349620509290559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mag6e8iHbcclgznrzz2VNwjwn6gKLgIA2+XlSqQ4SLjgryZtntYHixuq5ZQldyXvCsiNPh5yu67yGS4MG2TReg==" saltValue="OBkJibIkc6zL2R8Tdr2GA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vDyFbeX+QFnMMQ/edLbE/5epQRaAZkwq4dpLZoIUAiig9nOqbB4RX2XCb5Ujp2fE7ZARIki0FeZq6s5nO8d6Q==" saltValue="aRwdQQ1EW5gj9huhDH7YV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SBOcOcnE3GUyxsavSF7G0grLhoAm9qYwtmHtWaBRjCRfM/hspxQDovZS8wWaoN30612C3yx5SwtBl1zOjAo9A==" saltValue="fkXD+KdJgiU35LV8/e9SB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PLASENCIA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0.36382536382536385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0.25726338192857756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e7pLJ0UICJPNkm6CillmuLbemFy24VOqkWhrqbOG7oemArXSaxt0te9MGzLpJFOvnO1Kwq03wznykSjlE5h8FA==" saltValue="ymXGbWiXBSbiOLn/OIami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AShSDtRuDcz2YAnVhfP1SUzEhl6CLSJg7F9kaAi0icV1TWMOXYzD11kGlgXKljx7a7PTfLbGNRrI0T2z75s3g==" saltValue="u6C1psikSXCE4mvj8gR90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PLASENCIA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0</v>
      </c>
      <c r="F10" s="404">
        <f>IF(ISNUMBER(E10/B10),E10/B10," - ")</f>
        <v>0</v>
      </c>
      <c r="G10" s="403">
        <f>IF(ISNUMBER(Datos!K10),Datos!K10," - ")</f>
        <v>2</v>
      </c>
      <c r="H10" s="404">
        <f>IF(ISNUMBER(G10/B10),G10/B10," - ")</f>
        <v>2</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2384</v>
      </c>
      <c r="D12" s="404">
        <f>IF(ISNUMBER(C12/Datos!BH12),C12/Datos!BH12," - ")</f>
        <v>476.8</v>
      </c>
      <c r="E12" s="403">
        <f>IF(ISNUMBER(IF(J_V="SI",Datos!J12,Datos!J12+Datos!Z12)),IF(J_V="SI",Datos!J12,Datos!J12+Datos!Z12)," - ")</f>
        <v>1315</v>
      </c>
      <c r="F12" s="404">
        <f>IF(ISNUMBER(E12/B12),E12/B12," - ")</f>
        <v>263</v>
      </c>
      <c r="G12" s="403">
        <f>IF(ISNUMBER(IF(J_V="SI",Datos!K12,Datos!K12+Datos!AA12)),IF(J_V="SI",Datos!K12,Datos!K12+Datos!AA12)," - ")</f>
        <v>1441</v>
      </c>
      <c r="H12" s="404">
        <f>IF(ISNUMBER(G12/B12),G12/B12," - ")</f>
        <v>288.2</v>
      </c>
      <c r="I12" s="403">
        <f>IF(ISNUMBER(IF(J_V="SI",Datos!L12,Datos!L12+Datos!AB12)),IF(J_V="SI",Datos!L12,Datos!L12+Datos!AB12)," - ")</f>
        <v>2258</v>
      </c>
      <c r="J12" s="404">
        <f>IF(ISNUMBER(I12/B12),I12/B12," - ")</f>
        <v>451.6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2387</v>
      </c>
      <c r="D13" s="850" t="str">
        <f>IF(ISNUMBER(C13/Datos!BI13),C13/Datos!BI13," - ")</f>
        <v xml:space="preserve"> - </v>
      </c>
      <c r="E13" s="849">
        <f>SUBTOTAL(9,E8:E12)</f>
        <v>1315</v>
      </c>
      <c r="F13" s="850">
        <f>IF(ISNUMBER(E13/B13),E13/B13," - ")</f>
        <v>263</v>
      </c>
      <c r="G13" s="849">
        <f>SUBTOTAL(9,G8:G12)</f>
        <v>1443</v>
      </c>
      <c r="H13" s="850">
        <f>IF(ISNUMBER(G13/B13),G13/B13," - ")</f>
        <v>288.60000000000002</v>
      </c>
      <c r="I13" s="849">
        <f>SUBTOTAL(9,I8:I12)</f>
        <v>2259</v>
      </c>
      <c r="J13" s="850">
        <f>IF(ISNUMBER(I13/B13),I13/B13," - ")</f>
        <v>451.8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998</v>
      </c>
      <c r="D16" s="404">
        <f>IF(ISNUMBER(C16/Datos!BH16),C16/Datos!BH16," - ")</f>
        <v>199.6</v>
      </c>
      <c r="E16" s="403">
        <f>IF(ISNUMBER(IF(D_I="SI",Datos!J16,Datos!J16+Datos!AD16)),IF(D_I="SI",Datos!J16,Datos!J16+Datos!AD16)," - ")</f>
        <v>1165</v>
      </c>
      <c r="F16" s="404">
        <f>IF(ISNUMBER(E16/B16),E16/B16," - ")</f>
        <v>233</v>
      </c>
      <c r="G16" s="403">
        <f>IF(ISNUMBER(IF(D_I="SI",Datos!K16,Datos!K16+Datos!AE16)),IF(D_I="SI",Datos!K16,Datos!K16+Datos!AE16)," - ")</f>
        <v>1316</v>
      </c>
      <c r="H16" s="404">
        <f>IF(ISNUMBER(G16/B16),G16/B16," - ")</f>
        <v>263.2</v>
      </c>
      <c r="I16" s="403">
        <f>IF(ISNUMBER(IF(D_I="SI",Datos!L16,Datos!L16+Datos!AF16)),IF(D_I="SI",Datos!L16,Datos!L16+Datos!AF16)," - ")</f>
        <v>879</v>
      </c>
      <c r="J16" s="404">
        <f>IF(ISNUMBER(I16/B16),I16/B16," - ")</f>
        <v>175.8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v>
      </c>
      <c r="D17" s="404">
        <f>IF(ISNUMBER(C17/Datos!BH17),C17/Datos!BH17," - ")</f>
        <v>16</v>
      </c>
      <c r="E17" s="403">
        <f>IF(ISNUMBER(IF(D_I="SI",Datos!J17,Datos!J17+Datos!AD17)),IF(D_I="SI",Datos!J17,Datos!J17+Datos!AD17)," - ")</f>
        <v>0</v>
      </c>
      <c r="F17" s="404">
        <f>IF(ISNUMBER(E17/B17),E17/B17," - ")</f>
        <v>0</v>
      </c>
      <c r="G17" s="403">
        <f>IF(ISNUMBER(IF(D_I="SI",Datos!K17,Datos!K17+Datos!AE17)),IF(D_I="SI",Datos!K17,Datos!K17+Datos!AE17)," - ")</f>
        <v>6</v>
      </c>
      <c r="H17" s="404">
        <f>IF(ISNUMBER(G17/B17),G17/B17," - ")</f>
        <v>6</v>
      </c>
      <c r="I17" s="403">
        <f>IF(ISNUMBER(IF(D_I="SI",Datos!L17,Datos!L17+Datos!AF17)),IF(D_I="SI",Datos!L17,Datos!L17+Datos!AF17)," - ")</f>
        <v>10</v>
      </c>
      <c r="J17" s="404">
        <f>IF(ISNUMBER(I17/B17),I17/B17," - ")</f>
        <v>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1014</v>
      </c>
      <c r="D18" s="850" t="str">
        <f>IF(ISNUMBER(C18/Datos!BI18),C18/Datos!BI18," - ")</f>
        <v xml:space="preserve"> - </v>
      </c>
      <c r="E18" s="849">
        <f>SUBTOTAL(9,E14:E17)</f>
        <v>1165</v>
      </c>
      <c r="F18" s="850">
        <f>IF(ISNUMBER(E18/B18),E18/B18," - ")</f>
        <v>233</v>
      </c>
      <c r="G18" s="849">
        <f>SUBTOTAL(9,G14:G17)</f>
        <v>1322</v>
      </c>
      <c r="H18" s="850">
        <f>IF(ISNUMBER(G18/B18),G18/B18," - ")</f>
        <v>264.39999999999998</v>
      </c>
      <c r="I18" s="849">
        <f>SUBTOTAL(9,I14:I17)</f>
        <v>889</v>
      </c>
      <c r="J18" s="850">
        <f>IF(ISNUMBER(I18/B18),I18/B18," - ")</f>
        <v>177.8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3401</v>
      </c>
      <c r="D19" s="795" t="str">
        <f>IF(ISNUMBER(C19/Datos!BI19),C19/Datos!BI19," - ")</f>
        <v xml:space="preserve"> - </v>
      </c>
      <c r="E19" s="794">
        <f>SUBTOTAL(9,E9:E18)</f>
        <v>2480</v>
      </c>
      <c r="F19" s="795">
        <f>IF(ISNUMBER(E19/B19),E19/B19," - ")</f>
        <v>496</v>
      </c>
      <c r="G19" s="794">
        <f>SUBTOTAL(9,G9:G18)</f>
        <v>2765</v>
      </c>
      <c r="H19" s="795">
        <f>IF(ISNUMBER(G19/B19),G19/B19," - ")</f>
        <v>553</v>
      </c>
      <c r="I19" s="794">
        <f>SUBTOTAL(9,I9:I18)</f>
        <v>3148</v>
      </c>
      <c r="J19" s="795">
        <f>IF(ISNUMBER(I19/B19),I19/B19," - ")</f>
        <v>629.6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kPVIf9prnBj5Uluog+jss99D8rFzBPsA4qcWg/H2wnEuSe8G+HI64gjl7xEJB1Xthzn97raVZHcIDuFW+/oqLA==" saltValue="vGhM4HiW4ulgysS3b5ReA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PLASENCIA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3515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523</v>
      </c>
      <c r="AM12" s="690">
        <f>IF(ISNUMBER(Datos!N12+DatosP!N16),Datos!N12+DatosP!N16," - ")</f>
        <v>541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4.7009021512838309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8.0298250645253807E-3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303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275</v>
      </c>
      <c r="AE13" s="939">
        <f t="shared" si="1"/>
        <v>0</v>
      </c>
      <c r="AF13" s="939">
        <f t="shared" si="1"/>
        <v>1</v>
      </c>
      <c r="AG13" s="939">
        <f t="shared" si="1"/>
        <v>0</v>
      </c>
      <c r="AH13" s="939">
        <f t="shared" si="1"/>
        <v>3515</v>
      </c>
      <c r="AI13" s="939">
        <f t="shared" si="1"/>
        <v>0</v>
      </c>
      <c r="AJ13" s="939">
        <f t="shared" si="1"/>
        <v>0</v>
      </c>
      <c r="AK13" s="939">
        <f t="shared" si="1"/>
        <v>0</v>
      </c>
      <c r="AL13" s="939">
        <f t="shared" si="1"/>
        <v>525</v>
      </c>
      <c r="AM13" s="939">
        <f t="shared" si="1"/>
        <v>541</v>
      </c>
      <c r="AN13" s="939">
        <f t="shared" si="1"/>
        <v>0</v>
      </c>
      <c r="AO13" s="939">
        <f t="shared" si="1"/>
        <v>0</v>
      </c>
      <c r="AP13" s="944">
        <f>IF(ISNUMBER(((Datos!L13/Datos!K13)*11)/factor_trimestre),((Datos!L13/Datos!K13)*11)/factor_trimestre," - ")</f>
        <v>4.940356312935708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-0.66666666666666663</v>
      </c>
      <c r="AU13" s="939" t="str">
        <f>IF(ISNUMBER((DatosP!#REF!-DatosP!#REF!+DatosP!#REF!)/(DatosP!#REF!+DatosP!#REF!-DatosP!#REF!-DatosP!#REF!)),(DatosP!#REF!-DatosP!#REF!+DatosP!#REF!)/(DatosP!#REF!+DatosP!#REF!-DatosP!#REF!-DatosP!#REF!)," - ")</f>
        <v xml:space="preserve"> - </v>
      </c>
      <c r="AV13" s="945">
        <f>SUBTOTAL(9,AV9:AV12)</f>
        <v>8.0298250645253807E-3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2.0173978819969745</v>
      </c>
      <c r="AQ18" s="944">
        <f>IF(ISNUMBER(((Datos!M18/Datos!L18)*11)/factor_trimestre),((Datos!M18/Datos!L18)*11)/factor_trimestre," - ")</f>
        <v>0.65466816647919013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0.11347517730496454</v>
      </c>
      <c r="AW18" s="946">
        <f>IF(ISNUMBER((Datos!Q18-Datos!R18)/(Datos!S18-Datos!Q18+Datos!R18)),(Datos!Q18-Datos!R18)/(Datos!S18-Datos!Q18+Datos!R18)," - ")</f>
        <v>-8.595194085027727E-2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303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275</v>
      </c>
      <c r="AE19" s="957">
        <f t="shared" si="5"/>
        <v>0</v>
      </c>
      <c r="AF19" s="958">
        <f t="shared" si="5"/>
        <v>1</v>
      </c>
      <c r="AG19" s="958">
        <f t="shared" si="5"/>
        <v>0</v>
      </c>
      <c r="AH19" s="958">
        <f t="shared" si="5"/>
        <v>3515</v>
      </c>
      <c r="AI19" s="958">
        <f t="shared" si="5"/>
        <v>0</v>
      </c>
      <c r="AJ19" s="959">
        <f t="shared" si="5"/>
        <v>0</v>
      </c>
      <c r="AK19" s="959">
        <f t="shared" si="5"/>
        <v>0</v>
      </c>
      <c r="AL19" s="951">
        <f t="shared" si="5"/>
        <v>525</v>
      </c>
      <c r="AM19" s="951">
        <f t="shared" si="5"/>
        <v>541</v>
      </c>
      <c r="AN19" s="951">
        <f t="shared" si="5"/>
        <v>0</v>
      </c>
      <c r="AO19" s="951">
        <f t="shared" si="5"/>
        <v>0</v>
      </c>
      <c r="AP19" s="951">
        <f>IF(ISNUMBER(((Datos!L19/Datos!K19)*11)/factor_trimestre),((Datos!L19/Datos!K19)*11)/factor_trimestre," - ")</f>
        <v>3.4615384615384617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-0.66666666666666663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1.2107870115575124E-2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301.95639861852021</v>
      </c>
      <c r="AM21" s="736"/>
      <c r="AN21" s="736">
        <f>IF(ISNUMBER(STDEV(AN8:AN18)),STDEV(AN8:AN18),"-")</f>
        <v>0</v>
      </c>
      <c r="AO21" s="742">
        <f>IF(ISNUMBER(STDEV(AO8:AO18)),STDEV(AO8:AO18),"-")</f>
        <v>0</v>
      </c>
      <c r="AP21" s="779">
        <f>IF(ISNUMBER(STDEV(AP8:AP18)),STDEV(AP8:AP18),"-")</f>
        <v>1.7830625843884915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FZaU/HAy/RxfmZvIuPcVYqQ0f1bVmsnkrds8cAkOvO/7IrXhW10aJ2P9phXLtf0u+Yq+f2XN9cuOXwKTDjlYAQ==" saltValue="OuS0w2/P9i2WRiyEWc8X2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PLASENCIA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wYLcCez6hd/Ib49n8uSbOIhQO5jzbaXadw+uYC8csXjBmIl16BhIAZKp7/y/tLjokKTWfw8GvKtdpiLLCrvJvw==" saltValue="L6bp5SlLwkMuoQ52b1H/i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PLASENCIA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523</v>
      </c>
      <c r="E12" s="404">
        <f t="shared" si="0"/>
        <v>104.6</v>
      </c>
      <c r="F12" s="403">
        <f>IF(ISNUMBER(Datos!N12),Datos!N12," - ")</f>
        <v>541</v>
      </c>
      <c r="G12" s="404">
        <f t="shared" si="1"/>
        <v>108.2</v>
      </c>
      <c r="H12" s="403">
        <f>IF(ISNUMBER(Datos!O12),Datos!O12," - ")</f>
        <v>569</v>
      </c>
      <c r="I12" s="404">
        <f t="shared" si="2"/>
        <v>113.8</v>
      </c>
      <c r="BZ12" s="1186">
        <f>Datos!EZ12</f>
        <v>0</v>
      </c>
    </row>
    <row r="13" spans="1:78" ht="14.25" thickTop="1" thickBot="1">
      <c r="A13" s="848" t="str">
        <f>Datos!A13</f>
        <v>TOTAL</v>
      </c>
      <c r="B13" s="849">
        <f>Datos!AP13</f>
        <v>5</v>
      </c>
      <c r="C13" s="851">
        <f>Datos!AR13</f>
        <v>5</v>
      </c>
      <c r="D13" s="849">
        <f>SUBTOTAL(9,D9:D12)</f>
        <v>525</v>
      </c>
      <c r="E13" s="850">
        <f t="shared" si="0"/>
        <v>105</v>
      </c>
      <c r="F13" s="849">
        <f>SUBTOTAL(9,F9:F12)</f>
        <v>541</v>
      </c>
      <c r="G13" s="850">
        <f t="shared" si="1"/>
        <v>108.2</v>
      </c>
      <c r="H13" s="849">
        <f>SUBTOTAL(9,H9:H12)</f>
        <v>569</v>
      </c>
      <c r="I13" s="850">
        <f>IF(ISNUMBER(H13/B13),H13/B13," - ")</f>
        <v>113.8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194</v>
      </c>
      <c r="E16" s="404">
        <f t="shared" si="3"/>
        <v>38.799999999999997</v>
      </c>
      <c r="F16" s="403">
        <f>IF(ISNUMBER(Datos!N16),Datos!N16," - ")</f>
        <v>688</v>
      </c>
      <c r="G16" s="404">
        <f t="shared" si="4"/>
        <v>137.6</v>
      </c>
      <c r="H16" s="403">
        <f>IF(ISNUMBER(Datos!O16),Datos!O16," - ")</f>
        <v>29</v>
      </c>
      <c r="I16" s="404">
        <f t="shared" si="5"/>
        <v>5.8</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194</v>
      </c>
      <c r="E18" s="850">
        <f t="shared" si="3"/>
        <v>38.799999999999997</v>
      </c>
      <c r="F18" s="849">
        <f>SUBTOTAL(9,F15:F17)</f>
        <v>688</v>
      </c>
      <c r="G18" s="850">
        <f t="shared" si="4"/>
        <v>137.6</v>
      </c>
      <c r="H18" s="849">
        <f>SUBTOTAL(9,H15:H17)</f>
        <v>29</v>
      </c>
      <c r="I18" s="850">
        <f>IF(ISNUMBER(H18/B18),H18/B18," - ")</f>
        <v>5.8</v>
      </c>
      <c r="BZ18" s="1186"/>
    </row>
    <row r="19" spans="1:78" ht="14.25" thickTop="1" thickBot="1">
      <c r="A19" s="793" t="str">
        <f>Datos!A19</f>
        <v>TOTAL JURISDICCIONES</v>
      </c>
      <c r="B19" s="794">
        <f>Datos!AP19</f>
        <v>5</v>
      </c>
      <c r="C19" s="794">
        <f>Datos!AR19</f>
        <v>5</v>
      </c>
      <c r="D19" s="794">
        <f>SUBTOTAL(9,D8:D18)</f>
        <v>719</v>
      </c>
      <c r="E19" s="795">
        <f>IF(ISNUMBER(D19/B19),D19/B19," - ")</f>
        <v>143.80000000000001</v>
      </c>
      <c r="F19" s="794">
        <f>SUBTOTAL(9,F8:F18)</f>
        <v>1229</v>
      </c>
      <c r="G19" s="795">
        <f>IF(ISNUMBER(F19/B19),F19/B19," - ")</f>
        <v>245.8</v>
      </c>
      <c r="H19" s="794">
        <f>SUBTOTAL(9,H8:H18)</f>
        <v>598</v>
      </c>
      <c r="I19" s="795">
        <f>IF(ISNUMBER(H19/B19),H19/B19," - ")</f>
        <v>119.6</v>
      </c>
    </row>
    <row r="22" spans="1:78">
      <c r="A22" s="391" t="str">
        <f>Criterios!A4</f>
        <v>Fecha Informe: 24 sep. 2024</v>
      </c>
    </row>
    <row r="27" spans="1:78">
      <c r="A27" s="414"/>
    </row>
  </sheetData>
  <sheetProtection algorithmName="SHA-512" hashValue="gKKOeC1l075hkDrKiMKRcjxkt2+bEsfoT9rXuWliOF48uqmOwA1F5RFlc3TDL4xAAHbcyi5tq/z+TfPUZ1Osxg==" saltValue="rcr4Wd5UsIpA7je6aIthj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PLASENCIA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303</v>
      </c>
      <c r="C12" s="434">
        <f>IF(ISNUMBER(Datos!Q12),Datos!Q12," - ")</f>
        <v>275</v>
      </c>
      <c r="D12" s="408">
        <f>IF(ISNUMBER(Datos!R12),Datos!R12," - ")</f>
        <v>3515</v>
      </c>
    </row>
    <row r="13" spans="1:4" ht="14.25" thickTop="1" thickBot="1">
      <c r="A13" s="848" t="str">
        <f>Datos!A13</f>
        <v>TOTAL</v>
      </c>
      <c r="B13" s="849">
        <f>SUBTOTAL(9,B9:B12)</f>
        <v>303</v>
      </c>
      <c r="C13" s="853">
        <f>SUBTOTAL(9,C9:C12)</f>
        <v>275</v>
      </c>
      <c r="D13" s="851">
        <f>SUBTOTAL(9,D9:D12)</f>
        <v>3521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80</v>
      </c>
      <c r="C16" s="434">
        <f>IF(ISNUMBER(Datos!Q16),Datos!Q16," - ")</f>
        <v>64</v>
      </c>
      <c r="D16" s="408">
        <f>IF(ISNUMBER(Datos!R16),Datos!R16," - ")</f>
        <v>157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80</v>
      </c>
      <c r="C18" s="853">
        <f>SUBTOTAL(9,C15:C17)</f>
        <v>64</v>
      </c>
      <c r="D18" s="851">
        <f>SUBTOTAL(9,D15:D17)</f>
        <v>157</v>
      </c>
    </row>
    <row r="19" spans="1:4" ht="16.5" customHeight="1" thickTop="1" thickBot="1">
      <c r="A19" s="793" t="str">
        <f>Datos!A19</f>
        <v>TOTAL JURISDICCIONES</v>
      </c>
      <c r="B19" s="798">
        <f>SUBTOTAL(9,B8:B18)</f>
        <v>383</v>
      </c>
      <c r="C19" s="799">
        <f>SUBTOTAL(9,C8:C18)</f>
        <v>339</v>
      </c>
      <c r="D19" s="800">
        <f>SUBTOTAL(9,D8:D18)</f>
        <v>3678</v>
      </c>
    </row>
    <row r="20" spans="1:4" ht="7.5" customHeight="1"/>
    <row r="21" spans="1:4" ht="6" customHeight="1"/>
    <row r="22" spans="1:4">
      <c r="A22" s="391" t="str">
        <f>Criterios!A4</f>
        <v>Fecha Informe: 24 sep. 2024</v>
      </c>
    </row>
    <row r="27" spans="1:4">
      <c r="A27" s="414"/>
    </row>
  </sheetData>
  <sheetProtection algorithmName="SHA-512" hashValue="ru0cyg/xpFfxjm762/TQ6pK78x099OIzOKUBkHUVO4CZPTFRfwUnFLj9+PwA8Zqz49gdXMWIbmmyoEk53t6fGw==" saltValue="mWofj5BG40kq8FJLbVsI7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PLASENCIA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-0.83333333333333337</v>
      </c>
      <c r="C10" s="456" t="str">
        <f>IF(ISNUMBER((Datos!J10-Datos!T10)/Datos!T10),(Datos!J10-Datos!T10)/Datos!T10," - ")</f>
        <v xml:space="preserve"> - </v>
      </c>
      <c r="D10" s="456">
        <f>IF(ISNUMBER((Datos!K10-Datos!U10)/Datos!U10),(Datos!K10-Datos!U10)/Datos!U10," - ")</f>
        <v>-0.8</v>
      </c>
      <c r="E10" s="456">
        <f>IF(ISNUMBER((Datos!L10-Datos!V10)/Datos!V10),(Datos!L10-Datos!V10)/Datos!V10," - ")</f>
        <v>-0.875</v>
      </c>
      <c r="F10" s="456">
        <f>IF(ISNUMBER((Datos!M10-Datos!W10)/Datos!W10),(Datos!M10-Datos!W10)/Datos!W10," - ")</f>
        <v>-0.75</v>
      </c>
      <c r="G10" s="457">
        <f>IF(ISNUMBER((Datos!N10-Datos!X10)/Datos!X10),(Datos!N10-Datos!X10)/Datos!X10," - ")</f>
        <v>-1</v>
      </c>
      <c r="H10" s="455" t="str">
        <f>IF(ISNUMBER(((NºAsuntos!G10/NºAsuntos!E10)-Datos!BD10)/Datos!BD10),((NºAsuntos!G10/NºAsuntos!E10)-Datos!BD10)/Datos!BD10," - ")</f>
        <v xml:space="preserve"> - </v>
      </c>
      <c r="I10" s="456">
        <f>IF(ISNUMBER(((NºAsuntos!I10/NºAsuntos!G10)-Datos!BE10)/Datos!BE10),((NºAsuntos!I10/NºAsuntos!G10)-Datos!BE10)/Datos!BE10," - ")</f>
        <v>-0.37500000000000006</v>
      </c>
      <c r="J10" s="461">
        <f>IF(ISNUMBER((('Resol  Asuntos'!D10/NºAsuntos!G10)-Datos!BF10)/Datos!BF10),(('Resol  Asuntos'!D10/NºAsuntos!G10)-Datos!BF10)/Datos!BF10," - ")</f>
        <v>0.24999999999999994</v>
      </c>
      <c r="K10" s="462">
        <f>IF(ISNUMBER((((NºAsuntos!C10+NºAsuntos!E10)/NºAsuntos!G10)-Datos!BG10)/Datos!BG10),(((NºAsuntos!C10+NºAsuntos!E10)/NºAsuntos!G10)-Datos!BG10)/Datos!BG10," - ")</f>
        <v>-0.16666666666666669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0.51750477402928075</v>
      </c>
      <c r="C12" s="456">
        <f>IF(ISNUMBER(
   IF(J_V="SI",(Datos!J12-Datos!T12)/Datos!T12,(Datos!J12+Datos!Z12-(Datos!T12+Datos!AH12))/(Datos!T12+Datos!AH12))
     ),IF(J_V="SI",(Datos!J12-Datos!T12)/Datos!T12,(Datos!J12+Datos!Z12-(Datos!T12+Datos!AH12))/(Datos!T12+Datos!AH12))," - ")</f>
        <v>0.29048086359175662</v>
      </c>
      <c r="D12" s="456">
        <f>IF(ISNUMBER(
   IF(J_V="SI",(Datos!K12-Datos!U12)/Datos!U12,(Datos!K12+Datos!AA12-(Datos!U12+Datos!AI12))/(Datos!U12+Datos!AI12))
     ),IF(J_V="SI",(Datos!K12-Datos!U12)/Datos!U12,(Datos!K12+Datos!AA12-(Datos!U12+Datos!AI12))/(Datos!U12+Datos!AI12))," - ")</f>
        <v>1.2728706624605679</v>
      </c>
      <c r="E12" s="456">
        <f>IF(ISNUMBER(
   IF(J_V="SI",(Datos!L12-Datos!V12)/Datos!V12,(Datos!L12+Datos!AB12-(Datos!V12+Datos!AJ12))/(Datos!V12+Datos!AJ12))
     ),IF(J_V="SI",(Datos!L12-Datos!V12)/Datos!V12,(Datos!L12+Datos!AB12-(Datos!V12+Datos!AJ12))/(Datos!V12+Datos!AJ12))," - ")</f>
        <v>0.15439672801635992</v>
      </c>
      <c r="F12" s="456">
        <f>IF(ISNUMBER((Datos!M12-Datos!W12)/Datos!W12),(Datos!M12-Datos!W12)/Datos!W12," - ")</f>
        <v>1.7098445595854923</v>
      </c>
      <c r="G12" s="457">
        <f>IF(ISNUMBER((Datos!N12-Datos!X12)/Datos!X12),(Datos!N12-Datos!X12)/Datos!X12," - ")</f>
        <v>1.0807692307692307</v>
      </c>
      <c r="H12" s="455">
        <f>IF(ISNUMBER(((NºAsuntos!G12/NºAsuntos!E12)-Datos!BD12)/Datos!BD12),((NºAsuntos!G12/NºAsuntos!E12)-Datos!BD12)/Datos!BD12," - ")</f>
        <v>0.76125871106259979</v>
      </c>
      <c r="I12" s="456">
        <f>IF(ISNUMBER(((NºAsuntos!I12/NºAsuntos!G12)-Datos!BE12)/Datos!BE12),((NºAsuntos!I12/NºAsuntos!G12)-Datos!BE12)/Datos!BE12," - ")</f>
        <v>-0.4920974839955779</v>
      </c>
      <c r="J12" s="461">
        <f>IF(ISNUMBER((('Resol  Asuntos'!D12/NºAsuntos!G12)-Datos!BF12)/Datos!BF12),(('Resol  Asuntos'!D12/NºAsuntos!G12)-Datos!BF12)/Datos!BF12," - ")</f>
        <v>-0.11497891421555545</v>
      </c>
      <c r="K12" s="462">
        <f>IF(ISNUMBER((((NºAsuntos!C12+NºAsuntos!E12)/NºAsuntos!G12)-Datos!BG12)/Datos!BG12),(((NºAsuntos!C12+NºAsuntos!E12)/NºAsuntos!G12)-Datos!BG12)/Datos!BG12," - ")</f>
        <v>-0.37163809988237473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0.50220264317180618</v>
      </c>
      <c r="C13" s="855">
        <f>IF(ISNUMBER(
   IF(J_V="SI",(Datos!J13-Datos!T13)/Datos!T13,(Datos!J13+Datos!Z13-(Datos!T13+Datos!AH13))/(Datos!T13+Datos!AH13))
     ),IF(J_V="SI",(Datos!J13-Datos!T13)/Datos!T13,(Datos!J13+Datos!Z13-(Datos!T13+Datos!AH13))/(Datos!T13+Datos!AH13))," - ")</f>
        <v>0.29048086359175662</v>
      </c>
      <c r="D13" s="855">
        <f>IF(ISNUMBER(
   IF(J_V="SI",(Datos!K13-Datos!U13)/Datos!U13,(Datos!K13+Datos!AA13-(Datos!U13+Datos!AI13))/(Datos!U13+Datos!AI13))
     ),IF(J_V="SI",(Datos!K13-Datos!U13)/Datos!U13,(Datos!K13+Datos!AA13-(Datos!U13+Datos!AI13))/(Datos!U13+Datos!AI13))," - ")</f>
        <v>1.2406832298136645</v>
      </c>
      <c r="E13" s="855">
        <f>IF(ISNUMBER(
   IF(J_V="SI",(Datos!L13-Datos!V13)/Datos!V13,(Datos!L13+Datos!AB13-(Datos!V13+Datos!AJ13))/(Datos!V13+Datos!AJ13))
     ),IF(J_V="SI",(Datos!L13-Datos!V13)/Datos!V13,(Datos!L13+Datos!AB13-(Datos!V13+Datos!AJ13))/(Datos!V13+Datos!AJ13))," - ")</f>
        <v>0.15020366598778004</v>
      </c>
      <c r="F13" s="856">
        <f>IF(ISNUMBER((Datos!M13-Datos!W13)/Datos!W13),(Datos!M13-Datos!W13)/Datos!W13," - ")</f>
        <v>1.6119402985074627</v>
      </c>
      <c r="G13" s="857">
        <f>IF(ISNUMBER((Datos!N13-Datos!X13)/Datos!X13),(Datos!N13-Datos!X13)/Datos!X13," - ")</f>
        <v>1.0727969348659003</v>
      </c>
      <c r="H13" s="857">
        <f>IF(ISNUMBER(((NºAsuntos!G13/NºAsuntos!E13)-Datos!BD13)/Datos!BD13),((NºAsuntos!G13/NºAsuntos!E13)-Datos!BD13)/Datos!BD13," - ")</f>
        <v>0.73631651040313639</v>
      </c>
      <c r="I13" s="857">
        <f>IF(ISNUMBER(((NºAsuntos!I13/NºAsuntos!G13)-Datos!BE13)/Datos!BE13),((NºAsuntos!I13/NºAsuntos!G13)-Datos!BE13)/Datos!BE13," - ")</f>
        <v>-0.48667279217177384</v>
      </c>
      <c r="J13" s="857">
        <f>IF(ISNUMBER((('Resol  Asuntos'!D13/NºAsuntos!G13)-Datos!BF13)/Datos!BF13),(('Resol  Asuntos'!D13/NºAsuntos!G13)-Datos!BF13)/Datos!BF13," - ")</f>
        <v>-0.12573308095696153</v>
      </c>
      <c r="K13" s="857">
        <f>IF(ISNUMBER((((NºAsuntos!C13+NºAsuntos!E13)/NºAsuntos!G13)-Datos!BG13)/Datos!BG13),(((NºAsuntos!C13+NºAsuntos!E13)/NºAsuntos!G13)-Datos!BG13)/Datos!BG13," - ")</f>
        <v>-0.36649745545451068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7.5431034482758619E-2</v>
      </c>
      <c r="C16" s="456">
        <f>IF(ISNUMBER(
   IF(D_I="SI",(Datos!J16-Datos!T16)/Datos!T16,(Datos!J16+Datos!AD16-(Datos!T16+Datos!AL16))/(Datos!T16+Datos!AL16))
     ),IF(D_I="SI",(Datos!J16-Datos!T16)/Datos!T16,(Datos!J16+Datos!AD16-(Datos!T16+Datos!AL16))/(Datos!T16+Datos!AL16))," - ")</f>
        <v>0.48596938775510207</v>
      </c>
      <c r="D16" s="456">
        <f>IF(ISNUMBER(
   IF(D_I="SI",(Datos!K16-Datos!U16)/Datos!U16,(Datos!K16+Datos!AE16-(Datos!U16+Datos!AM16))/(Datos!U16+Datos!AM16))
     ),IF(D_I="SI",(Datos!K16-Datos!U16)/Datos!U16,(Datos!K16+Datos!AE16-(Datos!U16+Datos!AM16))/(Datos!U16+Datos!AM16))," - ")</f>
        <v>0.57040572792362765</v>
      </c>
      <c r="E16" s="456">
        <f>IF(ISNUMBER(
   IF(D_I="SI",(Datos!L16-Datos!V16)/Datos!V16,(Datos!L16+Datos!AF16-(Datos!V16+Datos!AN16))/(Datos!V16+Datos!AN16))
     ),IF(D_I="SI",(Datos!L16-Datos!V16)/Datos!V16,(Datos!L16+Datos!AF16-(Datos!V16+Datos!AN16))/(Datos!V16+Datos!AN16))," - ")</f>
        <v>-7.900677200902935E-3</v>
      </c>
      <c r="F16" s="456">
        <f>IF(ISNUMBER((Datos!M16-Datos!W16)/Datos!W16),(Datos!M16-Datos!W16)/Datos!W16," - ")</f>
        <v>0.55200000000000005</v>
      </c>
      <c r="G16" s="457">
        <f>IF(ISNUMBER((Datos!N16-Datos!X16)/Datos!X16),(Datos!N16-Datos!X16)/Datos!X16," - ")</f>
        <v>0.47323340471092079</v>
      </c>
      <c r="H16" s="455">
        <f>IF(ISNUMBER(((NºAsuntos!G16/NºAsuntos!E16)-Datos!BD16)/Datos!BD16),((NºAsuntos!G16/NºAsuntos!E16)-Datos!BD16)/Datos!BD16," - ")</f>
        <v>5.6822395443883247E-2</v>
      </c>
      <c r="I16" s="456">
        <f>IF(ISNUMBER(((NºAsuntos!I16/NºAsuntos!G16)-Datos!BE16)/Datos!BE16),((NºAsuntos!I16/NºAsuntos!G16)-Datos!BE16)/Datos!BE16," - ")</f>
        <v>-0.36825286283765712</v>
      </c>
      <c r="J16" s="461">
        <f>IF(ISNUMBER((('Resol  Asuntos'!D16/NºAsuntos!G16)-Datos!BF16)/Datos!BF16),(('Resol  Asuntos'!D16/NºAsuntos!G16)-Datos!BF16)/Datos!BF16," - ")</f>
        <v>-1.1720364741641216E-2</v>
      </c>
      <c r="K16" s="462">
        <f>IF(ISNUMBER((((NºAsuntos!C16+NºAsuntos!E16)/NºAsuntos!G16)-Datos!BG16)/Datos!BG16),(((NºAsuntos!C16+NºAsuntos!E16)/NºAsuntos!G16)-Datos!BG16)/Datos!BG16," - ")</f>
        <v>-0.19547250944521768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-0.73770491803278693</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-0.86363636363636365</v>
      </c>
      <c r="E17" s="456">
        <f>IF(ISNUMBER(
   IF(D_I="SI",(Datos!L17-Datos!V17)/Datos!V17,(Datos!L17+Datos!AF17-(Datos!V17+Datos!AN17))/(Datos!V17+Datos!AN17))
     ),IF(D_I="SI",(Datos!L17-Datos!V17)/Datos!V17,(Datos!L17+Datos!AF17-(Datos!V17+Datos!AN17))/(Datos!V17+Datos!AN17))," - ")</f>
        <v>-0.6</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f>IF(ISNUMBER(((NºAsuntos!I17/NºAsuntos!G17)-Datos!BE17)/Datos!BE17),((NºAsuntos!I17/NºAsuntos!G17)-Datos!BE17)/Datos!BE17," - ")</f>
        <v>1.9333333333333333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0.70048309178743962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2.5278058645096056E-2</v>
      </c>
      <c r="C18" s="855">
        <f>IF(ISNUMBER(
   IF(Criterios!B14="SI",(Datos!J18-Datos!T18)/Datos!T18,(Datos!J18+Datos!AD18-(Datos!T18+Datos!AL18))/(Datos!T18+Datos!AL18))
     ),IF(Criterios!B14="SI",(Datos!J18-Datos!T18)/Datos!T18,(Datos!J18+Datos!AD18-(Datos!T18+Datos!AL18))/(Datos!T18+Datos!AL18))," - ")</f>
        <v>0.47095959595959597</v>
      </c>
      <c r="D18" s="855">
        <f>IF(ISNUMBER(
   IF(Criterios!B14="SI",(Datos!K18-Datos!U18)/Datos!U18,(Datos!K18+Datos!AE18-(Datos!U18+Datos!AM18))/(Datos!U18+Datos!AM18))
     ),IF(Criterios!B14="SI",(Datos!K18-Datos!U18)/Datos!U18,(Datos!K18+Datos!AE18-(Datos!U18+Datos!AM18))/(Datos!U18+Datos!AM18))," - ")</f>
        <v>0.49886621315192742</v>
      </c>
      <c r="E18" s="855">
        <f>IF(ISNUMBER(
   IF(Criterios!B14="SI",(Datos!L18-Datos!V18)/Datos!V18,(Datos!L18+Datos!AF18-(Datos!V18+Datos!AN18))/(Datos!V18+Datos!AN18))
     ),IF(Criterios!B14="SI",(Datos!L18-Datos!V18)/Datos!V18,(Datos!L18+Datos!AF18-(Datos!V18+Datos!AN18))/(Datos!V18+Datos!AN18))," - ")</f>
        <v>-2.4149286498353458E-2</v>
      </c>
      <c r="F18" s="856">
        <f>IF(ISNUMBER((Datos!M18-Datos!W18)/Datos!W18),(Datos!M18-Datos!W18)/Datos!W18," - ")</f>
        <v>0.55200000000000005</v>
      </c>
      <c r="G18" s="857">
        <f>IF(ISNUMBER((Datos!N18-Datos!X18)/Datos!X18),(Datos!N18-Datos!X18)/Datos!X18," - ")</f>
        <v>0.41563786008230452</v>
      </c>
      <c r="H18" s="857">
        <f>IF(ISNUMBER(((NºAsuntos!G18/NºAsuntos!E18)-Datos!BD18)/Datos!BD18),((NºAsuntos!G18/NºAsuntos!E18)-Datos!BD18)/Datos!BD18," - ")</f>
        <v>1.897170885521593E-2</v>
      </c>
      <c r="I18" s="857">
        <f>IF(ISNUMBER(((NºAsuntos!I18/NºAsuntos!G18)-Datos!BE18)/Datos!BE18),((NºAsuntos!I18/NºAsuntos!G18)-Datos!BE18)/Datos!BE18," - ")</f>
        <v>-0.34894074938846276</v>
      </c>
      <c r="J18" s="857">
        <f>IF(ISNUMBER((('Resol  Asuntos'!D18/NºAsuntos!G18)-Datos!BF18)/Datos!BF18),(('Resol  Asuntos'!D18/NºAsuntos!G18)-Datos!BF18)/Datos!BF18," - ")</f>
        <v>3.5449319213313096E-2</v>
      </c>
      <c r="K18" s="857">
        <f>IF(ISNUMBER((((NºAsuntos!C18+NºAsuntos!E18)/NºAsuntos!G18)-Datos!BG18)/Datos!BG18),(((NºAsuntos!C18+NºAsuntos!E18)/NºAsuntos!G18)-Datos!BG18)/Datos!BG18," - ")</f>
        <v>-0.18373638023140554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0.31923972071373158</v>
      </c>
      <c r="C19" s="802">
        <f>IF(ISNUMBER(
   IF(J_V="SI",(Datos!J19-Datos!T19)/Datos!T19,(Datos!J19+Datos!Z19-(Datos!T19+Datos!AH19))/(Datos!T19+Datos!AH19))
     ),IF(J_V="SI",(Datos!J19-Datos!T19)/Datos!T19,(Datos!J19+Datos!Z19-(Datos!T19+Datos!AH19))/(Datos!T19+Datos!AH19))," - ")</f>
        <v>0.36940916620651576</v>
      </c>
      <c r="D19" s="802">
        <f>IF(ISNUMBER(
   IF(J_V="SI",(Datos!K19-Datos!U19)/Datos!U19,(Datos!K19+Datos!AA19-(Datos!U19+Datos!AI19))/(Datos!U19+Datos!AI19))
     ),IF(J_V="SI",(Datos!K19-Datos!U19)/Datos!U19,(Datos!K19+Datos!AA19-(Datos!U19+Datos!AI19))/(Datos!U19+Datos!AI19))," - ")</f>
        <v>0.81192660550458717</v>
      </c>
      <c r="E19" s="802">
        <f>IF(ISNUMBER(
   IF(J_V="SI",(Datos!L19-Datos!V19)/Datos!V19,(Datos!L19+Datos!AB19-(Datos!V19+Datos!AJ19))/(Datos!V19+Datos!AJ19))
     ),IF(J_V="SI",(Datos!L19-Datos!V19)/Datos!V19,(Datos!L19+Datos!AB19-(Datos!V19+Datos!AJ19))/(Datos!V19+Datos!AJ19))," - ")</f>
        <v>9.4956521739130439E-2</v>
      </c>
      <c r="F19" s="803">
        <f>IF(ISNUMBER((Datos!M19-Datos!W19)/Datos!W19),(Datos!M19-Datos!W19)/Datos!W19," - ")</f>
        <v>1.205521472392638</v>
      </c>
      <c r="G19" s="804">
        <f>IF(ISNUMBER((Datos!N19-Datos!X19)/Datos!X19),(Datos!N19-Datos!X19)/Datos!X19," - ")</f>
        <v>0.6452476572958501</v>
      </c>
      <c r="H19" s="805">
        <f>IF(ISNUMBER((Tasas!B19-Datos!BD19)/Datos!BD19),(Tasas!B19-Datos!BD19)/Datos!BD19," - ")</f>
        <v>0.32314479135839008</v>
      </c>
      <c r="I19" s="806">
        <f>IF(ISNUMBER((Tasas!C19-Datos!BE19)/Datos!BE19),(Tasas!C19-Datos!BE19)/Datos!BE19," - ")</f>
        <v>-0.39569488167308747</v>
      </c>
      <c r="J19" s="807">
        <f>IF(ISNUMBER((Tasas!D19-Datos!BF19)/Datos!BF19),(Tasas!D19-Datos!BF19)/Datos!BF19," - ")</f>
        <v>9.7078622733273324E-3</v>
      </c>
      <c r="K19" s="807">
        <f>IF(ISNUMBER((Tasas!E19-Datos!BG19)/Datos!BG19),(Tasas!E19-Datos!BG19)/Datos!BG19," - ")</f>
        <v>-0.26048839013529224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NKjYgaZ5v1N1NjVOBcQciNMox3kVCQZGtbyQLeMnTWfdgdyfx/GOMSqyr2VSMtiYAvWJpj9lZQm9nPVOJNcYg==" saltValue="mCCwbvPazF1FuO+yF2dOZ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PLASENCIA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0.5</v>
      </c>
      <c r="D10" s="444">
        <f>IF(ISNUMBER('Resol  Asuntos'!D10/NºAsuntos!G10),'Resol  Asuntos'!D10/NºAsuntos!G10," - ")</f>
        <v>1</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1.0958174904942966</v>
      </c>
      <c r="C12" s="443">
        <f>IF(ISNUMBER(NºAsuntos!I12/NºAsuntos!G12),NºAsuntos!I12/NºAsuntos!G12," - ")</f>
        <v>1.566967383761277</v>
      </c>
      <c r="D12" s="444">
        <f>IF(ISNUMBER('Resol  Asuntos'!D12/NºAsuntos!G12),'Resol  Asuntos'!D12/NºAsuntos!G12," - ")</f>
        <v>0.36294240111034004</v>
      </c>
      <c r="E12" s="445">
        <f>IF(ISNUMBER((NºAsuntos!C12+NºAsuntos!E12)/NºAsuntos!G12),(NºAsuntos!C12+NºAsuntos!E12)/NºAsuntos!G12," - ")</f>
        <v>2.566967383761277</v>
      </c>
      <c r="G12" s="463"/>
    </row>
    <row r="13" spans="1:7" ht="14.25" thickTop="1" thickBot="1">
      <c r="A13" s="848" t="str">
        <f>Datos!A13</f>
        <v>TOTAL</v>
      </c>
      <c r="B13" s="858">
        <f>IF(ISNUMBER(NºAsuntos!G13/NºAsuntos!E13),NºAsuntos!G13/NºAsuntos!E13," - ")</f>
        <v>1.0973384030418252</v>
      </c>
      <c r="C13" s="859">
        <f>IF(ISNUMBER(NºAsuntos!I13/NºAsuntos!G13),NºAsuntos!I13/NºAsuntos!G13," - ")</f>
        <v>1.5654885654885655</v>
      </c>
      <c r="D13" s="860">
        <f>IF(ISNUMBER('Resol  Asuntos'!D13/NºAsuntos!G13),'Resol  Asuntos'!D13/NºAsuntos!G13," - ")</f>
        <v>0.36382536382536385</v>
      </c>
      <c r="E13" s="861">
        <f>IF(ISNUMBER((NºAsuntos!C13+NºAsuntos!E13)/NºAsuntos!G13),(NºAsuntos!C13+NºAsuntos!E13)/NºAsuntos!G13," - ")</f>
        <v>2.5654885654885655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1.1296137339055794</v>
      </c>
      <c r="C16" s="443">
        <f>IF(ISNUMBER(NºAsuntos!I16/NºAsuntos!G16),NºAsuntos!I16/NºAsuntos!G16," - ")</f>
        <v>0.66793313069908811</v>
      </c>
      <c r="D16" s="444">
        <f>IF(ISNUMBER('Resol  Asuntos'!D16/NºAsuntos!G16),'Resol  Asuntos'!D16/NºAsuntos!G16," - ")</f>
        <v>0.14741641337386019</v>
      </c>
      <c r="E16" s="445">
        <f>IF(ISNUMBER((NºAsuntos!C16+NºAsuntos!E16)/NºAsuntos!G16),(NºAsuntos!C16+NºAsuntos!E16)/NºAsuntos!G16," - ")</f>
        <v>1.6436170212765957</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1.6666666666666667</v>
      </c>
      <c r="D17" s="444">
        <f>IF(ISNUMBER('Resol  Asuntos'!D17/NºAsuntos!G17),'Resol  Asuntos'!D17/NºAsuntos!G17," - ")</f>
        <v>0</v>
      </c>
      <c r="E17" s="445">
        <f>IF(ISNUMBER((NºAsuntos!C17+NºAsuntos!E17)/NºAsuntos!G17),(NºAsuntos!C17+NºAsuntos!E17)/NºAsuntos!G17," - ")</f>
        <v>2.6666666666666665</v>
      </c>
      <c r="G17" s="463"/>
    </row>
    <row r="18" spans="1:7" ht="14.25" thickTop="1" thickBot="1">
      <c r="A18" s="848" t="str">
        <f>Datos!A18</f>
        <v>TOTAL</v>
      </c>
      <c r="B18" s="858">
        <f>IF(ISNUMBER(NºAsuntos!G18/NºAsuntos!E18),NºAsuntos!G18/NºAsuntos!E18," - ")</f>
        <v>1.134763948497854</v>
      </c>
      <c r="C18" s="859">
        <f>IF(ISNUMBER(NºAsuntos!I18/NºAsuntos!G18),NºAsuntos!I18/NºAsuntos!G18," - ")</f>
        <v>0.67246596066565811</v>
      </c>
      <c r="D18" s="862">
        <f>IF(ISNUMBER('Resol  Asuntos'!D18/NºAsuntos!G18),'Resol  Asuntos'!D18/NºAsuntos!G18," - ")</f>
        <v>0.14674735249621784</v>
      </c>
      <c r="E18" s="861">
        <f>IF(ISNUMBER((NºAsuntos!C18+NºAsuntos!E18)/NºAsuntos!G18),(NºAsuntos!C18+NºAsuntos!E18)/NºAsuntos!G18," - ")</f>
        <v>1.6482602118003025</v>
      </c>
      <c r="G18" s="463"/>
    </row>
    <row r="19" spans="1:7" ht="15.75" customHeight="1" thickTop="1" thickBot="1">
      <c r="A19" s="793" t="str">
        <f>Datos!A19</f>
        <v>TOTAL JURISDICCIONES</v>
      </c>
      <c r="B19" s="808">
        <f>IF(ISNUMBER(NºAsuntos!G19/NºAsuntos!E19),NºAsuntos!G19/NºAsuntos!E19," - ")</f>
        <v>1.1149193548387097</v>
      </c>
      <c r="C19" s="809">
        <f>IF(ISNUMBER(NºAsuntos!I19/NºAsuntos!G19),NºAsuntos!I19/NºAsuntos!G19," - ")</f>
        <v>1.1385171790235082</v>
      </c>
      <c r="D19" s="810">
        <f>IF(ISNUMBER('Resol  Asuntos'!D19/NºAsuntos!G19),'Resol  Asuntos'!D19/NºAsuntos!G19," - ")</f>
        <v>0.26003616636528026</v>
      </c>
      <c r="E19" s="811">
        <f>IF(ISNUMBER((NºAsuntos!C19+NºAsuntos!E19)/NºAsuntos!G19),(NºAsuntos!C19+NºAsuntos!E19)/NºAsuntos!G19," - ")</f>
        <v>2.1269439421338157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URQuxWrKkb0EB8Kns5hTwq2JzO6oLVlmxwC/1fKTBQ3mgnOVhFm8pkM61bPERxwwxwjsx4uuNJj8EdIEI1wOA==" saltValue="432UpHNDAbT4RRaLG54mp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PLASENCIA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v>
      </c>
      <c r="AB10" s="334">
        <f>IF(ISNUMBER(Datos!R10),Datos!R10," - ")</f>
        <v>6</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1.5</v>
      </c>
      <c r="AN10" s="244">
        <f>IF(ISNUMBER('Resol  Asuntos'!D10/NºAsuntos!G10),'Resol  Asuntos'!D10/NºAsuntos!G10," - ")</f>
        <v>1</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275</v>
      </c>
      <c r="Y12" s="334">
        <f t="shared" si="0"/>
        <v>275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3515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523</v>
      </c>
      <c r="AJ12" s="229" t="str">
        <f>IF(ISNUMBER(Datos!BW12),Datos!BW12," - ")</f>
        <v xml:space="preserve"> - </v>
      </c>
      <c r="AK12" s="228" t="str">
        <f>IF(ISNUMBER(Datos!BX12),Datos!BX12," - ")</f>
        <v xml:space="preserve"> - </v>
      </c>
      <c r="AL12" s="243">
        <f>IF(ISNUMBER(NºAsuntos!G12/NºAsuntos!E12),NºAsuntos!G12/NºAsuntos!E12," - ")</f>
        <v>1.0958174904942966</v>
      </c>
      <c r="AM12" s="260">
        <f>IF(ISNUMBER(((NºAsuntos!I12/NºAsuntos!G12)*11)/factor_trimestre),((NºAsuntos!I12/NºAsuntos!G12)*11)/factor_trimestre," - ")</f>
        <v>4.7009021512838309</v>
      </c>
      <c r="AN12" s="244">
        <f>IF(ISNUMBER('Resol  Asuntos'!D12/NºAsuntos!G12),'Resol  Asuntos'!D12/NºAsuntos!G12," - ")</f>
        <v>0.36294240111034004</v>
      </c>
      <c r="AO12" s="245">
        <f>IF(ISNUMBER((NºAsuntos!C12+NºAsuntos!E12)/NºAsuntos!G12),(NºAsuntos!C12+NºAsuntos!E12)/NºAsuntos!G12," - ")</f>
        <v>2.566967383761277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3</v>
      </c>
      <c r="G13" s="866">
        <f t="shared" si="3"/>
        <v>3</v>
      </c>
      <c r="H13" s="865">
        <f t="shared" si="3"/>
        <v>0</v>
      </c>
      <c r="I13" s="867">
        <f t="shared" si="3"/>
        <v>0</v>
      </c>
      <c r="J13" s="867">
        <f t="shared" si="3"/>
        <v>0</v>
      </c>
      <c r="K13" s="867">
        <f t="shared" si="3"/>
        <v>0</v>
      </c>
      <c r="L13" s="867">
        <f t="shared" si="3"/>
        <v>303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275</v>
      </c>
      <c r="Y13" s="868">
        <f t="shared" si="4"/>
        <v>277</v>
      </c>
      <c r="Z13" s="868">
        <f t="shared" si="4"/>
        <v>0</v>
      </c>
      <c r="AA13" s="868">
        <f t="shared" si="4"/>
        <v>1</v>
      </c>
      <c r="AB13" s="868">
        <f t="shared" si="4"/>
        <v>3521</v>
      </c>
      <c r="AC13" s="868">
        <f t="shared" si="4"/>
        <v>7</v>
      </c>
      <c r="AD13" s="868">
        <f t="shared" si="4"/>
        <v>0</v>
      </c>
      <c r="AE13" s="872">
        <f t="shared" si="4"/>
        <v>0</v>
      </c>
      <c r="AF13" s="865">
        <f t="shared" si="4"/>
        <v>0</v>
      </c>
      <c r="AG13" s="873">
        <f t="shared" si="4"/>
        <v>0</v>
      </c>
      <c r="AH13" s="870">
        <f t="shared" si="4"/>
        <v>0</v>
      </c>
      <c r="AI13" s="865">
        <f t="shared" si="4"/>
        <v>525</v>
      </c>
      <c r="AJ13" s="867">
        <f t="shared" si="4"/>
        <v>0</v>
      </c>
      <c r="AK13" s="870">
        <f>SUBTOTAL(9,AK9:AK12)</f>
        <v>0</v>
      </c>
      <c r="AL13" s="874">
        <f>IF(ISNUMBER(NºAsuntos!G13/NºAsuntos!E13),NºAsuntos!G13/NºAsuntos!E13," - ")</f>
        <v>1.0973384030418252</v>
      </c>
      <c r="AM13" s="874">
        <f>IF(ISNUMBER(((NºAsuntos!I13/NºAsuntos!G13)*11)/factor_trimestre),((NºAsuntos!I13/NºAsuntos!G13)*11)/factor_trimestre," - ")</f>
        <v>4.6964656964656966</v>
      </c>
      <c r="AN13" s="875">
        <f>IF(ISNUMBER('Resol  Asuntos'!D13/NºAsuntos!G13),'Resol  Asuntos'!D13/NºAsuntos!G13," - ")</f>
        <v>0.36382536382536385</v>
      </c>
      <c r="AO13" s="876">
        <f>IF(ISNUMBER((NºAsuntos!C13+NºAsuntos!E13)/NºAsuntos!G13),(NºAsuntos!C13+NºAsuntos!E13)/NºAsuntos!G13," - ")</f>
        <v>2.5654885654885655</v>
      </c>
      <c r="AP13" s="877" t="str">
        <f t="shared" si="2"/>
        <v xml:space="preserve"> - </v>
      </c>
      <c r="AQ13" s="877">
        <f>IF(ISNUMBER((H13-W13+K13)/(F13)),(H13-W13+K13)/(F13)," - ")</f>
        <v>-0.66666666666666663</v>
      </c>
      <c r="AR13" s="878">
        <f>IF(ISNUMBER((Datos!P13-Datos!Q13)/(Datos!R13-Datos!P13+Datos!Q13)),(Datos!P13-Datos!Q13)/(Datos!R13-Datos!P13+Datos!Q13)," - ")</f>
        <v>8.0160320641282558E-3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1030</v>
      </c>
      <c r="G16" s="333">
        <f>IF(ISNUMBER(IF(D_I="SI",Datos!I16,Datos!I16+Datos!AC16)),IF(D_I="SI",Datos!I16,Datos!I16+Datos!AC16)," - ")</f>
        <v>998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1316</v>
      </c>
      <c r="X16" s="226">
        <f>IF(ISNUMBER(Datos!Q16),Datos!Q16," - ")</f>
        <v>64</v>
      </c>
      <c r="Y16" s="334">
        <f t="shared" ref="Y16:Y17" si="7">SUM(W16:X16)</f>
        <v>1380</v>
      </c>
      <c r="Z16" s="335" t="str">
        <f>IF(ISNUMBER(Datos!CC16),Datos!CC16," - ")</f>
        <v xml:space="preserve"> - </v>
      </c>
      <c r="AA16" s="332">
        <f>IF(ISNUMBER(IF(D_I="SI",Datos!L16,Datos!L16+Datos!AF16)),IF(D_I="SI",Datos!L16,Datos!L16+Datos!AF16)," - ")</f>
        <v>879</v>
      </c>
      <c r="AB16" s="334">
        <f>IF(ISNUMBER(Datos!R16),Datos!R16," - ")</f>
        <v>157</v>
      </c>
      <c r="AC16" s="334">
        <f t="shared" si="6"/>
        <v>1036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194</v>
      </c>
      <c r="AJ16" s="231" t="str">
        <f>IF(ISNUMBER(Datos!BW16),Datos!BW16," - ")</f>
        <v xml:space="preserve"> - </v>
      </c>
      <c r="AK16" s="232" t="str">
        <f>IF(ISNUMBER(Datos!BX16),Datos!BX16," - ")</f>
        <v xml:space="preserve"> - </v>
      </c>
      <c r="AL16" s="243">
        <f>IF(ISNUMBER(NºAsuntos!G16/NºAsuntos!E16),NºAsuntos!G16/NºAsuntos!E16," - ")</f>
        <v>1.1296137339055794</v>
      </c>
      <c r="AM16" s="260">
        <f>IF(ISNUMBER(((NºAsuntos!I16/NºAsuntos!G16)*11)/factor_trimestre),((NºAsuntos!I16/NºAsuntos!G16)*11)/factor_trimestre," - ")</f>
        <v>2.0037993920972643</v>
      </c>
      <c r="AN16" s="244">
        <f>IF(ISNUMBER('Resol  Asuntos'!D16/NºAsuntos!G16),'Resol  Asuntos'!D16/NºAsuntos!G16," - ")</f>
        <v>0.14741641337386019</v>
      </c>
      <c r="AO16" s="245">
        <f>IF(ISNUMBER((NºAsuntos!C16+NºAsuntos!E16)/NºAsuntos!G16),(NºAsuntos!C16+NºAsuntos!E16)/NºAsuntos!G16," - ")</f>
        <v>1.6436170212765957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v>
      </c>
      <c r="X17" s="226">
        <f>IF(ISNUMBER(Datos!Q17),Datos!Q17," - ")</f>
        <v>0</v>
      </c>
      <c r="Y17" s="334">
        <f t="shared" si="7"/>
        <v>6</v>
      </c>
      <c r="Z17" s="335" t="str">
        <f>IF(ISNUMBER(Datos!CC17),Datos!CC17," - ")</f>
        <v xml:space="preserve"> - </v>
      </c>
      <c r="AA17" s="332">
        <f>IF(ISNUMBER(Datos!L17),Datos!L17,"-")</f>
        <v>10</v>
      </c>
      <c r="AB17" s="334">
        <f>IF(ISNUMBER(Datos!R17),Datos!R17," - ")</f>
        <v>0</v>
      </c>
      <c r="AC17" s="334">
        <f t="shared" si="6"/>
        <v>10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5.0000000000000009</v>
      </c>
      <c r="AN17" s="244">
        <f>IF(ISNUMBER('Resol  Asuntos'!D17/NºAsuntos!G17),'Resol  Asuntos'!D17/NºAsuntos!G17," - ")</f>
        <v>0</v>
      </c>
      <c r="AO17" s="245">
        <f>IF(ISNUMBER((NºAsuntos!C17+NºAsuntos!E17)/NºAsuntos!G17),(NºAsuntos!C17+NºAsuntos!E17)/NºAsuntos!G17," - ")</f>
        <v>2.6666666666666665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1030</v>
      </c>
      <c r="G18" s="866">
        <f>SUBTOTAL(9,G15:G17)</f>
        <v>1014</v>
      </c>
      <c r="H18" s="865">
        <f t="shared" ref="H18:O18" si="10">SUBTOTAL(9,H14:H17)</f>
        <v>0</v>
      </c>
      <c r="I18" s="867">
        <f t="shared" si="10"/>
        <v>0</v>
      </c>
      <c r="J18" s="867">
        <f t="shared" si="10"/>
        <v>0</v>
      </c>
      <c r="K18" s="867">
        <f t="shared" si="10"/>
        <v>0</v>
      </c>
      <c r="L18" s="867">
        <f t="shared" si="10"/>
        <v>80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1322</v>
      </c>
      <c r="X18" s="867">
        <f t="shared" si="11"/>
        <v>64</v>
      </c>
      <c r="Y18" s="868">
        <f t="shared" si="11"/>
        <v>1386</v>
      </c>
      <c r="Z18" s="868">
        <f t="shared" si="11"/>
        <v>0</v>
      </c>
      <c r="AA18" s="868">
        <f t="shared" si="11"/>
        <v>889</v>
      </c>
      <c r="AB18" s="868">
        <f t="shared" si="11"/>
        <v>157</v>
      </c>
      <c r="AC18" s="868">
        <f t="shared" si="11"/>
        <v>1046</v>
      </c>
      <c r="AD18" s="868">
        <f t="shared" si="11"/>
        <v>0</v>
      </c>
      <c r="AE18" s="872">
        <f t="shared" si="11"/>
        <v>0</v>
      </c>
      <c r="AF18" s="865">
        <f t="shared" si="11"/>
        <v>0</v>
      </c>
      <c r="AG18" s="873">
        <f t="shared" si="11"/>
        <v>0</v>
      </c>
      <c r="AH18" s="870">
        <f t="shared" si="11"/>
        <v>0</v>
      </c>
      <c r="AI18" s="865">
        <f t="shared" si="11"/>
        <v>194</v>
      </c>
      <c r="AJ18" s="867">
        <f t="shared" si="11"/>
        <v>0</v>
      </c>
      <c r="AK18" s="870">
        <f t="shared" si="11"/>
        <v>0</v>
      </c>
      <c r="AL18" s="874">
        <f>IF(ISNUMBER(NºAsuntos!G18/NºAsuntos!E18),NºAsuntos!G18/NºAsuntos!E18," - ")</f>
        <v>1.134763948497854</v>
      </c>
      <c r="AM18" s="874">
        <f>IF(ISNUMBER(((NºAsuntos!I18/NºAsuntos!G18)*11)/factor_trimestre),((NºAsuntos!I18/NºAsuntos!G18)*11)/factor_trimestre," - ")</f>
        <v>2.0173978819969745</v>
      </c>
      <c r="AN18" s="875">
        <f>IF(ISNUMBER('Resol  Asuntos'!D18/NºAsuntos!G18),'Resol  Asuntos'!D18/NºAsuntos!G18," - ")</f>
        <v>0.14674735249621784</v>
      </c>
      <c r="AO18" s="876">
        <f>IF(ISNUMBER((NºAsuntos!C18+NºAsuntos!E18)/NºAsuntos!G18),(NºAsuntos!C18+NºAsuntos!E18)/NºAsuntos!G18," - ")</f>
        <v>1.6482602118003025</v>
      </c>
      <c r="AP18" s="877" t="str">
        <f t="shared" si="2"/>
        <v xml:space="preserve"> - </v>
      </c>
      <c r="AQ18" s="877">
        <f>IF(ISNUMBER((H18-W18+K18)/(F18)),(H18-W18+K18)/(F18)," - ")</f>
        <v>-1.2834951456310679</v>
      </c>
      <c r="AR18" s="878">
        <f>IF(ISNUMBER((Datos!P18-Datos!Q18)/(Datos!R18-Datos!P18+Datos!Q18)),(Datos!P18-Datos!Q18)/(Datos!R18-Datos!P18+Datos!Q18)," - ")</f>
        <v>0.11347517730496454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1033</v>
      </c>
      <c r="G19" s="821">
        <f t="shared" si="13"/>
        <v>1017</v>
      </c>
      <c r="H19" s="820">
        <f t="shared" si="13"/>
        <v>0</v>
      </c>
      <c r="I19" s="822">
        <f t="shared" si="13"/>
        <v>0</v>
      </c>
      <c r="J19" s="822">
        <f t="shared" si="13"/>
        <v>0</v>
      </c>
      <c r="K19" s="881">
        <f t="shared" si="13"/>
        <v>0</v>
      </c>
      <c r="L19" s="822">
        <f t="shared" si="13"/>
        <v>383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1324</v>
      </c>
      <c r="X19" s="821">
        <f t="shared" si="14"/>
        <v>339</v>
      </c>
      <c r="Y19" s="828">
        <f t="shared" si="14"/>
        <v>1663</v>
      </c>
      <c r="Z19" s="828">
        <f t="shared" si="14"/>
        <v>0</v>
      </c>
      <c r="AA19" s="828">
        <f t="shared" si="14"/>
        <v>890</v>
      </c>
      <c r="AB19" s="828">
        <f t="shared" si="14"/>
        <v>3678</v>
      </c>
      <c r="AC19" s="828">
        <f t="shared" si="14"/>
        <v>1053</v>
      </c>
      <c r="AD19" s="828">
        <f t="shared" si="14"/>
        <v>0</v>
      </c>
      <c r="AE19" s="830">
        <f t="shared" si="14"/>
        <v>0</v>
      </c>
      <c r="AF19" s="831">
        <f t="shared" si="14"/>
        <v>0</v>
      </c>
      <c r="AG19" s="832">
        <f t="shared" si="14"/>
        <v>0</v>
      </c>
      <c r="AH19" s="830">
        <f t="shared" si="14"/>
        <v>0</v>
      </c>
      <c r="AI19" s="820">
        <f t="shared" si="14"/>
        <v>719</v>
      </c>
      <c r="AJ19" s="820">
        <f t="shared" si="14"/>
        <v>0</v>
      </c>
      <c r="AK19" s="830">
        <f t="shared" si="14"/>
        <v>0</v>
      </c>
      <c r="AL19" s="884">
        <f>IF(ISNUMBER(NºAsuntos!G19/NºAsuntos!E19),NºAsuntos!G19/NºAsuntos!E19," - ")</f>
        <v>1.1149193548387097</v>
      </c>
      <c r="AM19" s="885">
        <f>IF(ISNUMBER(((NºAsuntos!I19/NºAsuntos!G19)*11)/factor_trimestre),((NºAsuntos!I19/NºAsuntos!G19)*11)/factor_trimestre," - ")</f>
        <v>3.4155515370705247</v>
      </c>
      <c r="AN19" s="885">
        <f>IF(ISNUMBER('Resol  Asuntos'!D19/NºAsuntos!G19),'Resol  Asuntos'!D19/NºAsuntos!G19," - ")</f>
        <v>0.26003616636528026</v>
      </c>
      <c r="AO19" s="886">
        <f>IF(ISNUMBER((NºAsuntos!C19+NºAsuntos!E19)/NºAsuntos!G19),(NºAsuntos!C19+NºAsuntos!E19)/NºAsuntos!G19," - ")</f>
        <v>2.1269439421338157</v>
      </c>
      <c r="AP19" s="887" t="str">
        <f t="shared" si="2"/>
        <v xml:space="preserve"> - </v>
      </c>
      <c r="AQ19" s="888">
        <f>IF(OR(ISNUMBER(FIND("01",Criterios!A8,1)),ISNUMBER(FIND("02",Criterios!A8,1)),ISNUMBER(FIND("03",Criterios!A8,1)),ISNUMBER(FIND("04",Criterios!A8,1))),(I19-W19+K19)/(F19-K19),(H19-W19+K19)/(F19-K19))</f>
        <v>-1.2817037754114231</v>
      </c>
      <c r="AR19" s="889">
        <f>IF(ISNUMBER((Datos!P19-Datos!Q19)/(Datos!R19-Datos!P19+Datos!Q19)),(Datos!P19-Datos!Q19)/(Datos!R19-Datos!P19+Datos!Q19)," - ")</f>
        <v>1.2107870115575124E-2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406.8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592.93872645774559</v>
      </c>
      <c r="G21" s="253">
        <f>IF(ISNUMBER(STDEV(G8:G18)),STDEV(G8:G18),"-")</f>
        <v>547.04725572842426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720.62528404157456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236.55415165806468</v>
      </c>
      <c r="AJ21" s="252">
        <f t="shared" si="18"/>
        <v>0</v>
      </c>
      <c r="AK21" s="254">
        <f t="shared" si="18"/>
        <v>0</v>
      </c>
      <c r="AL21" s="249">
        <f t="shared" si="18"/>
        <v>2.0676514414723728E-2</v>
      </c>
      <c r="AM21" s="250">
        <f t="shared" si="18"/>
        <v>1.6349620509290559</v>
      </c>
      <c r="AN21" s="250">
        <f t="shared" si="18"/>
        <v>0.35402497772018648</v>
      </c>
      <c r="AO21" s="251">
        <f t="shared" si="18"/>
        <v>0.55284536938762507</v>
      </c>
      <c r="AP21" s="291" t="str">
        <f t="shared" si="18"/>
        <v>-</v>
      </c>
      <c r="AQ21" s="292">
        <f t="shared" si="18"/>
        <v>0.43616360030471224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cVr5QC2p+VvEfvae+kX/i8Dht1DlPWGXjRNI8klA3Lxu2u7UN2tYFovXIpSNFAtU151SczvQvzzXFN3Ddg5WyA==" saltValue="falOhvZMUKEcwPctP1fUo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PLASENCIA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-0.83333333333333337</v>
      </c>
      <c r="E10" s="348" t="str">
        <f>IF(ISNUMBER((Datos!J10-Datos!T10)/Datos!T10),(Datos!J10-Datos!T10)/Datos!T10," - ")</f>
        <v xml:space="preserve"> - </v>
      </c>
      <c r="F10" s="348">
        <f>IF(ISNUMBER((Datos!K10-Datos!U10)/Datos!U10),(Datos!K10-Datos!U10)/Datos!U10," - ")</f>
        <v>-0.8</v>
      </c>
      <c r="G10" s="349">
        <f>IF(ISNUMBER((Datos!L10-Datos!V10)/Datos!V10),(Datos!L10-Datos!V10)/Datos!V10," - ")</f>
        <v>-0.875</v>
      </c>
      <c r="H10" s="230">
        <f>IF(ISNUMBER((Datos!M10-Datos!W10)/Datos!W10),(Datos!M10-Datos!W10)/Datos!W10," - ")</f>
        <v>-0.75</v>
      </c>
      <c r="I10" s="350">
        <f>IF(ISNUMBER((Tasas!C10-Datos!BE10)/Datos!BE10),(Tasas!C10-Datos!BE10)/Datos!BE10," - ")</f>
        <v>-0.37500000000000006</v>
      </c>
      <c r="J10" s="349">
        <f>IF(ISNUMBER((Tasas!D10-Datos!BF10)/Datos!BF10),(Tasas!D10-Datos!BF10)/Datos!BF10," - ")</f>
        <v>0.24999999999999994</v>
      </c>
      <c r="K10" s="351">
        <f>IF(ISNUMBER((Tasas!E10-Datos!BG10)/Datos!BG10),(Tasas!E10-Datos!BG10)/Datos!BG10," - ")</f>
        <v>-0.16666666666666669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1.7098445595854923</v>
      </c>
      <c r="I12" s="350">
        <f>IF(ISNUMBER((Tasas!C12-Datos!BE12)/Datos!BE12),(Tasas!C12-Datos!BE12)/Datos!BE12," - ")</f>
        <v>-0.4920974839955779</v>
      </c>
      <c r="J12" s="349">
        <f>IF(ISNUMBER((Tasas!D12-Datos!BF12)/Datos!BF12),(Tasas!D12-Datos!BF12)/Datos!BF12," - ")</f>
        <v>-0.11497891421555545</v>
      </c>
      <c r="K12" s="351">
        <f>IF(ISNUMBER((Tasas!E12-Datos!BG12)/Datos!BG12),(Tasas!E12-Datos!BG12)/Datos!BG12," - ")</f>
        <v>-0.37163809988237473</v>
      </c>
      <c r="M12" t="e">
        <f>IF(Monitorios="SI",Datos!CE12,0)</f>
        <v>#REF!</v>
      </c>
      <c r="N12" t="e">
        <f>IF(Monitorios="SI",Datos!CF12,0)</f>
        <v>#REF!</v>
      </c>
      <c r="O12" t="e">
        <f>IF(Monitorios="SI",Datos!CG12,0)</f>
        <v>#REF!</v>
      </c>
      <c r="P12" t="e">
        <f>IF(Monitorios="SI",Datos!CH12,0)</f>
        <v>#REF!</v>
      </c>
      <c r="Q12">
        <f>IF(J_V="SI",0,Datos!AG12)</f>
        <v>100</v>
      </c>
      <c r="R12">
        <f>IF(J_V="SI",0,Datos!AH12)</f>
        <v>131</v>
      </c>
      <c r="S12">
        <f>IF(J_V="SI",0,Datos!AI12)</f>
        <v>107</v>
      </c>
      <c r="T12">
        <f>IF(J_V="SI",0,Datos!AJ12)</f>
        <v>124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1.6119402985074627</v>
      </c>
      <c r="I13" s="357">
        <f>IF(ISNUMBER((Tasas!C13-Datos!BE13)/Datos!BE13),(Tasas!C13-Datos!BE13)/Datos!BE13," - ")</f>
        <v>-0.48667279217177384</v>
      </c>
      <c r="J13" s="355">
        <f>IF(ISNUMBER((Tasas!D13-Datos!BF13)/Datos!BF13),(Tasas!D13-Datos!BF13)/Datos!BF13," - ")</f>
        <v>-0.12573308095696153</v>
      </c>
      <c r="K13" s="358">
        <f>IF(ISNUMBER((Tasas!E13-Datos!BG13)/Datos!BG13),(Tasas!E13-Datos!BG13)/Datos!BG13," - ")</f>
        <v>-0.36649745545451068</v>
      </c>
      <c r="M13" t="e">
        <f>IF(Monitorios="SI",Datos!CE13,0)</f>
        <v>#REF!</v>
      </c>
      <c r="N13" t="e">
        <f>IF(Monitorios="SI",Datos!CF13,0)</f>
        <v>#REF!</v>
      </c>
      <c r="O13" t="e">
        <f>IF(Monitorios="SI",Datos!CG13,0)</f>
        <v>#REF!</v>
      </c>
      <c r="P13" t="e">
        <f>IF(Monitorios="SI",Datos!CH13,0)</f>
        <v>#REF!</v>
      </c>
      <c r="Q13">
        <f>IF(J_V="SI",0,Datos!AG13)</f>
        <v>100</v>
      </c>
      <c r="R13">
        <f>IF(J_V="SI",0,Datos!AH13)</f>
        <v>131</v>
      </c>
      <c r="S13">
        <f>IF(J_V="SI",0,Datos!AI13)</f>
        <v>107</v>
      </c>
      <c r="T13">
        <f>IF(J_V="SI",0,Datos!AJ13)</f>
        <v>124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7.5431034482758619E-2</v>
      </c>
      <c r="E16" s="348">
        <f>IF(ISNUMBER(
   IF(D_I="SI",(Datos!J16-Datos!T16)/Datos!T16,(Datos!J16+Datos!AD16-(Datos!T16+Datos!AL16))/(Datos!T16+Datos!AL16))
     ),IF(D_I="SI",(Datos!J16-Datos!T16)/Datos!T16,(Datos!J16+Datos!AD16-(Datos!T16+Datos!AL16))/(Datos!T16+Datos!AL16))," - ")</f>
        <v>0.48596938775510207</v>
      </c>
      <c r="F16" s="348">
        <f>IF(ISNUMBER(
   IF(D_I="SI",(Datos!K16-Datos!U16)/Datos!U16,(Datos!K16+Datos!AE16-(Datos!U16+Datos!AM16))/(Datos!U16+Datos!AM16))
     ),IF(D_I="SI",(Datos!K16-Datos!U16)/Datos!U16,(Datos!K16+Datos!AE16-(Datos!U16+Datos!AM16))/(Datos!U16+Datos!AM16))," - ")</f>
        <v>0.57040572792362765</v>
      </c>
      <c r="G16" s="349">
        <f>IF(ISNUMBER(
   IF(D_I="SI",(Datos!L16-Datos!V16)/Datos!V16,(Datos!L16+Datos!AF16-(Datos!V16+Datos!AN16))/(Datos!V16+Datos!AN16))
     ),IF(D_I="SI",(Datos!L16-Datos!V16)/Datos!V16,(Datos!L16+Datos!AF16-(Datos!V16+Datos!AN16))/(Datos!V16+Datos!AN16))," - ")</f>
        <v>-7.900677200902935E-3</v>
      </c>
      <c r="H16" s="230">
        <f>IF(ISNUMBER((Datos!M16-Datos!W16)/Datos!W16),(Datos!M16-Datos!W16)/Datos!W16," - ")</f>
        <v>0.55200000000000005</v>
      </c>
      <c r="I16" s="350">
        <f>IF(ISNUMBER((Tasas!C16-Datos!BE16)/Datos!BE16),(Tasas!C16-Datos!BE16)/Datos!BE16," - ")</f>
        <v>-0.36825286283765712</v>
      </c>
      <c r="J16" s="349">
        <f>IF(ISNUMBER((Tasas!D16-Datos!BF16)/Datos!BF16),(Tasas!D16-Datos!BF16)/Datos!BF16," - ")</f>
        <v>-1.1720364741641216E-2</v>
      </c>
      <c r="K16" s="351">
        <f>IF(ISNUMBER((Tasas!E16-Datos!BG16)/Datos!BG16),(Tasas!E16-Datos!BG16)/Datos!BG16," - ")</f>
        <v>-0.19547250944521768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-0.73770491803278693</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-0.86363636363636365</v>
      </c>
      <c r="G17" s="349">
        <f>IF(ISNUMBER(
   IF(D_I="SI",(Datos!L17-Datos!V17)/Datos!V17,(Datos!L17+Datos!AF17-(Datos!V17+Datos!AN17))/(Datos!V17+Datos!AN17))
     ),IF(D_I="SI",(Datos!L17-Datos!V17)/Datos!V17,(Datos!L17+Datos!AF17-(Datos!V17+Datos!AN17))/(Datos!V17+Datos!AN17))," - ")</f>
        <v>-0.6</v>
      </c>
      <c r="H17" s="230" t="str">
        <f>IF(ISNUMBER((Datos!M17-Datos!W17)/Datos!W17),(Datos!M17-Datos!W17)/Datos!W17," - ")</f>
        <v xml:space="preserve"> - </v>
      </c>
      <c r="I17" s="350">
        <f>IF(ISNUMBER((Tasas!C17-Datos!BE17)/Datos!BE17),(Tasas!C17-Datos!BE17)/Datos!BE17," - ")</f>
        <v>1.9333333333333333</v>
      </c>
      <c r="J17" s="349" t="str">
        <f>IF(ISNUMBER((Tasas!D17-Datos!BF17)/Datos!BF17),(Tasas!D17-Datos!BF17)/Datos!BF17," - ")</f>
        <v xml:space="preserve"> - </v>
      </c>
      <c r="K17" s="351">
        <f>IF(ISNUMBER((Tasas!E17-Datos!BG17)/Datos!BG17),(Tasas!E17-Datos!BG17)/Datos!BG17," - ")</f>
        <v>0.70048309178743962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2.5278058645096056E-2</v>
      </c>
      <c r="E18" s="354">
        <f>IF(ISNUMBER(
   IF(D_I="SI",(Datos!J18-Datos!T18)/Datos!T18,(Datos!J18+Datos!AD18-(Datos!T18+Datos!AL18))/(Datos!T18+Datos!AL18))
     ),IF(D_I="SI",(Datos!J18-Datos!T18)/Datos!T18,(Datos!J18+Datos!AD18-(Datos!T18+Datos!AL18))/(Datos!T18+Datos!AL18))," - ")</f>
        <v>0.47095959595959597</v>
      </c>
      <c r="F18" s="354">
        <f>IF(ISNUMBER(
   IF(D_I="SI",(Datos!K18-Datos!U18)/Datos!U18,(Datos!K18+Datos!AE18-(Datos!U18+Datos!AM18))/(Datos!U18+Datos!AM18))
     ),IF(D_I="SI",(Datos!K18-Datos!U18)/Datos!U18,(Datos!K18+Datos!AE18-(Datos!U18+Datos!AM18))/(Datos!U18+Datos!AM18))," - ")</f>
        <v>0.49886621315192742</v>
      </c>
      <c r="G18" s="355">
        <f>IF(ISNUMBER(
   IF(D_I="SI",(Datos!L18-Datos!V18)/Datos!V18,(Datos!L18+Datos!AF18-(Datos!V18+Datos!AN18))/(Datos!V18+Datos!AN18))
     ),IF(D_I="SI",(Datos!L18-Datos!V18)/Datos!V18,(Datos!L18+Datos!AF18-(Datos!V18+Datos!AN18))/(Datos!V18+Datos!AN18))," - ")</f>
        <v>-2.4149286498353458E-2</v>
      </c>
      <c r="H18" s="356">
        <f>IF(ISNUMBER((Datos!M18-Datos!W18)/Datos!W18),(Datos!M18-Datos!W18)/Datos!W18," - ")</f>
        <v>0.55200000000000005</v>
      </c>
      <c r="I18" s="357">
        <f>IF(ISNUMBER((Tasas!C18-Datos!BE18)/Datos!BE18),(Tasas!C18-Datos!BE18)/Datos!BE18," - ")</f>
        <v>-0.34894074938846276</v>
      </c>
      <c r="J18" s="355">
        <f>IF(ISNUMBER((Tasas!D18-Datos!BF18)/Datos!BF18),(Tasas!D18-Datos!BF18)/Datos!BF18," - ")</f>
        <v>3.5449319213313096E-2</v>
      </c>
      <c r="K18" s="358">
        <f>IF(ISNUMBER((Tasas!E18-Datos!BG18)/Datos!BG18),(Tasas!E18-Datos!BG18)/Datos!BG18," - ")</f>
        <v>-0.18373638023140554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0.31923972071373158</v>
      </c>
      <c r="E19" s="363">
        <f>IF(ISNUMBER(
   IF(J_V="SI",(Datos!J19-Datos!T19)/Datos!T19,(Datos!J19+Datos!Z19-(Datos!T19+Datos!AH19))/(Datos!T19+Datos!AH19))
     ),IF(J_V="SI",(Datos!J19-Datos!T19)/Datos!T19,(Datos!J19+Datos!Z19-(Datos!T19+Datos!AH19))/(Datos!T19+Datos!AH19))," - ")</f>
        <v>0.36940916620651576</v>
      </c>
      <c r="F19" s="363">
        <f>IF(ISNUMBER(
   IF(J_V="SI",(Datos!K19-Datos!U19)/Datos!U19,(Datos!K19+Datos!AA19-(Datos!U19+Datos!AI19))/(Datos!U19+Datos!AI19))
     ),IF(J_V="SI",(Datos!K19-Datos!U19)/Datos!U19,(Datos!K19+Datos!AA19-(Datos!U19+Datos!AI19))/(Datos!U19+Datos!AI19))," - ")</f>
        <v>0.81192660550458717</v>
      </c>
      <c r="G19" s="364">
        <f>IF(ISNUMBER(
   IF(J_V="SI",(Datos!L19-Datos!V19)/Datos!V19,(Datos!L19+Datos!AB19-(Datos!V19+Datos!AJ19))/(Datos!V19+Datos!AJ19))
     ),IF(J_V="SI",(Datos!L19-Datos!V19)/Datos!V19,(Datos!L19+Datos!AB19-(Datos!V19+Datos!AJ19))/(Datos!V19+Datos!AJ19))," - ")</f>
        <v>9.4956521739130439E-2</v>
      </c>
      <c r="H19" s="365">
        <f>IF(ISNUMBER((Datos!M19-Datos!W19)/Datos!W19),(Datos!M19-Datos!W19)/Datos!W19," - ")</f>
        <v>1.205521472392638</v>
      </c>
      <c r="I19" s="362">
        <f>IF(ISNUMBER((Tasas!C19-Datos!BE19)/Datos!BE19),(Tasas!C19-Datos!BE19)/Datos!BE19," - ")</f>
        <v>-0.39569488167308747</v>
      </c>
      <c r="J19" s="363">
        <f>IF(ISNUMBER((Tasas!D19-Datos!BF19)/Datos!BF19),(Tasas!D19-Datos!BF19)/Datos!BF19," - ")</f>
        <v>9.7078622733273324E-3</v>
      </c>
      <c r="K19" s="364">
        <f>IF(ISNUMBER((Tasas!E19-Datos!BG19)/Datos!BG19),(Tasas!E19-Datos!BG19)/Datos!BG19," - ")</f>
        <v>-0.26048839013529224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0.4846011601839178</v>
      </c>
      <c r="E21" s="278">
        <f t="shared" si="1"/>
        <v>0.85362486375657964</v>
      </c>
      <c r="F21" s="278">
        <f t="shared" si="1"/>
        <v>0.78989043437811857</v>
      </c>
      <c r="G21" s="279">
        <f t="shared" si="1"/>
        <v>0.43145904033760074</v>
      </c>
      <c r="H21" s="285">
        <f t="shared" si="1"/>
        <v>0.99894307636863677</v>
      </c>
      <c r="I21" s="277">
        <f t="shared" si="1"/>
        <v>0.96037762442319652</v>
      </c>
      <c r="J21" s="278">
        <f t="shared" si="1"/>
        <v>0.1522374425225361</v>
      </c>
      <c r="K21" s="279">
        <f t="shared" si="1"/>
        <v>0.4015239310840743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qSF4Rq5msGztMLWmFXC8w/UkXyoogQfR6BGxNyzxi3/jancijYO5pMc7E7fnWEusHq5sdZ8XCEDc1cXoE9D+Q==" saltValue="h0HfmElYzk6bC88mxSfMv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